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5880" windowWidth="15600" windowHeight="5985" tabRatio="926" firstSheet="1" activeTab="12"/>
  </bookViews>
  <sheets>
    <sheet name="1.BACA DULU" sheetId="1" r:id="rId1"/>
    <sheet name="2.ISIAN DATA SKPD" sheetId="2" r:id="rId2"/>
    <sheet name="3.LRA" sheetId="3" r:id="rId3"/>
    <sheet name="4.NERACA" sheetId="4" r:id="rId4"/>
    <sheet name="5.LO" sheetId="5" r:id="rId5"/>
    <sheet name="6.LPE" sheetId="6" r:id="rId6"/>
    <sheet name="SAMPUL" sheetId="7" r:id="rId7"/>
    <sheet name="Depan" sheetId="8" r:id="rId8"/>
    <sheet name="Template LRA" sheetId="9" r:id="rId9"/>
    <sheet name="Template Neraca" sheetId="10" r:id="rId10"/>
    <sheet name="Template LO" sheetId="11" r:id="rId11"/>
    <sheet name="Template LPE" sheetId="12" r:id="rId12"/>
    <sheet name="Calk Umum" sheetId="13" r:id="rId13"/>
    <sheet name="Sheet1" sheetId="14" r:id="rId14"/>
  </sheets>
  <definedNames>
    <definedName name="OLE_LINK2" localSheetId="12">'Calk Umum'!$C$9</definedName>
    <definedName name="_xlnm.Print_Area" localSheetId="4">'5.LO'!$B$134:$F$435</definedName>
    <definedName name="_xlnm.Print_Area" localSheetId="8">'Template LRA'!$A$1:$E$25</definedName>
    <definedName name="_xlnm.Print_Titles" localSheetId="12">'Calk Umum'!$1:$1</definedName>
    <definedName name="_xlnm.Print_Titles" localSheetId="8">'Template LRA'!$8:$8</definedName>
  </definedNames>
  <calcPr fullCalcOnLoad="1"/>
</workbook>
</file>

<file path=xl/sharedStrings.xml><?xml version="1.0" encoding="utf-8"?>
<sst xmlns="http://schemas.openxmlformats.org/spreadsheetml/2006/main" count="3212" uniqueCount="1752">
  <si>
    <t>DAFTAR ISI</t>
  </si>
  <si>
    <t>A.</t>
  </si>
  <si>
    <t>B.</t>
  </si>
  <si>
    <t>PERNYATAAN TANGGUNG JAWAB</t>
  </si>
  <si>
    <t>Ekuitas</t>
  </si>
  <si>
    <t xml:space="preserve"> </t>
  </si>
  <si>
    <t>(Dalam Rupiah)</t>
  </si>
  <si>
    <t>a.</t>
  </si>
  <si>
    <t>b.</t>
  </si>
  <si>
    <t>Uraian</t>
  </si>
  <si>
    <t>Jumlah</t>
  </si>
  <si>
    <t>ASET</t>
  </si>
  <si>
    <t>Kas di Bendahara Pengeluaran</t>
  </si>
  <si>
    <t>KEWAJIBAN</t>
  </si>
  <si>
    <t>I.</t>
  </si>
  <si>
    <t>1.</t>
  </si>
  <si>
    <t>2.</t>
  </si>
  <si>
    <t>3.</t>
  </si>
  <si>
    <t>II.</t>
  </si>
  <si>
    <t>Pendapatan Jasa</t>
  </si>
  <si>
    <t>Pendapatan Lain-lain</t>
  </si>
  <si>
    <t>Belanja Pemeliharaan</t>
  </si>
  <si>
    <t>Tanggal Laporan</t>
  </si>
  <si>
    <t>Belanja Pegawai</t>
  </si>
  <si>
    <t>Penandatangan</t>
  </si>
  <si>
    <t>NIP</t>
  </si>
  <si>
    <t>Jabatan</t>
  </si>
  <si>
    <t>Total</t>
  </si>
  <si>
    <t>Keterangan</t>
  </si>
  <si>
    <t>Neraca</t>
  </si>
  <si>
    <t>Belanja Modal</t>
  </si>
  <si>
    <t>Belanja Modal Tanah</t>
  </si>
  <si>
    <t>Belanja Modal Peralatan dan Mesin</t>
  </si>
  <si>
    <t>Lain-lain</t>
  </si>
  <si>
    <t>Koreksi Nilai Persediaan</t>
  </si>
  <si>
    <t>Dampak Kumulatif Perubahan Kebijakan Kesalahan Mendasar (C )</t>
  </si>
  <si>
    <t>Ekuitas Awal (A)</t>
  </si>
  <si>
    <t>EKUITAS AKHIR (A+B+C+D+E)</t>
  </si>
  <si>
    <t>JUMLAH BEBAN LO</t>
  </si>
  <si>
    <t>KEGIATAN OPERASIONAL</t>
  </si>
  <si>
    <t>KEGIATAN NON OPERASIONAL</t>
  </si>
  <si>
    <t>SURPLUS(DEFISIT) DARI KEGIATAN OPERASIONAL</t>
  </si>
  <si>
    <t>SURPLUS (DEFISIT) SEBELUM POS LUAR BIASA</t>
  </si>
  <si>
    <t>SURPLUS (DEFISIT) LO</t>
  </si>
  <si>
    <t>BELANJA MODAL</t>
  </si>
  <si>
    <t>Jika ada perkembangan lebih lanjut, akan ada perbaikan terhadap penyajian maupun analisa laporan keuangannya.</t>
  </si>
  <si>
    <t>NO</t>
  </si>
  <si>
    <t>Beban Pegawai</t>
  </si>
  <si>
    <t>Beban Pemeliharaan</t>
  </si>
  <si>
    <t>Beban Bantuan Sosial</t>
  </si>
  <si>
    <t>LAPORAN OPERASIONAL</t>
  </si>
  <si>
    <t>Jumlah Pendapatan</t>
  </si>
  <si>
    <t>Beban Jasa</t>
  </si>
  <si>
    <t>LAPORAN PERUBAHAN EKUITAS</t>
  </si>
  <si>
    <t>Surplus/Defisit - LO (B)</t>
  </si>
  <si>
    <t>Belanja Modal Gedung dan Bangunan</t>
  </si>
  <si>
    <t>KATA PENGANTAR</t>
  </si>
  <si>
    <t xml:space="preserve">Laporan Keuangan ini telah disusun dan disajikan dengan basis akrual sehingga akan mampu menyajikan informasi keuangan yang transparan, akurat dan akuntabel. </t>
  </si>
  <si>
    <t>Alamat</t>
  </si>
  <si>
    <t>No telepon</t>
  </si>
  <si>
    <t>Fax</t>
  </si>
  <si>
    <t>Kata Pengantar</t>
  </si>
  <si>
    <t>Daftar Isi</t>
  </si>
  <si>
    <t>Pernyataan Tanggung Jawab</t>
  </si>
  <si>
    <t>Ringkasan</t>
  </si>
  <si>
    <t>III.</t>
  </si>
  <si>
    <t>IV.</t>
  </si>
  <si>
    <t>V.</t>
  </si>
  <si>
    <t>Laporan Realisasi Anggaran</t>
  </si>
  <si>
    <t>Laporan Operasional</t>
  </si>
  <si>
    <t>Laporan Perubahan Ekuitas</t>
  </si>
  <si>
    <t>Catatan Atas Laporan Keuangan</t>
  </si>
  <si>
    <t>Hal</t>
  </si>
  <si>
    <t>RINGKASAN LAPORAN KEUANGAN</t>
  </si>
  <si>
    <t xml:space="preserve">Neraca </t>
  </si>
  <si>
    <t xml:space="preserve">Laporan Perubahan Ekuitas menyajikan informasi kenaikan atau penurunan ekuitas tahun pelaporan dibandingkan dengan tahun sebelumnya. </t>
  </si>
  <si>
    <t xml:space="preserve">Laporan Perubahan Ekuitas </t>
  </si>
  <si>
    <t xml:space="preserve">Catatan atas Laporan Keuangan (CaLK) menyajikan informasi tentang penjelasan atau daftar terinci atau analisis atas nilai suatu pos yang disajikan dalam Laporan Realisasi Anggaran, Neraca, Laporan Operasional, dan Laporan Perubahan Ekuitas. </t>
  </si>
  <si>
    <t>Termasuk pula dalam CaLK adalah penyajian informasi yang diharuskan dan dianjurkan oleh Standar Akuntansi Pemerintahan serta pengungkapan-pengungkapan lainnya yang diperlukan untuk penyajian yang wajar atas laporan keuangan.</t>
  </si>
  <si>
    <t>PENDAPATAN</t>
  </si>
  <si>
    <t>Anggaran</t>
  </si>
  <si>
    <t>Realisasi</t>
  </si>
  <si>
    <t>% thd Angg</t>
  </si>
  <si>
    <t>II. NERACA</t>
  </si>
  <si>
    <t>NERACA</t>
  </si>
  <si>
    <t>Kas di Bendahara Penerimaan</t>
  </si>
  <si>
    <t>Bagian Lancar Tagihan Penjualan Angsuran</t>
  </si>
  <si>
    <t>Persediaan</t>
  </si>
  <si>
    <t>Tanah</t>
  </si>
  <si>
    <t>Peralatan dan Mesin</t>
  </si>
  <si>
    <t>Gedung dan Bangunan</t>
  </si>
  <si>
    <t>Aset Tetap Lainnya</t>
  </si>
  <si>
    <t>Akumulasi Penyusutan Aset Tetap</t>
  </si>
  <si>
    <t>Aset Lain-lain</t>
  </si>
  <si>
    <t>III. LAPORAN OPERASIONAL</t>
  </si>
  <si>
    <t>BEBAN</t>
  </si>
  <si>
    <t>Beban Persediaan</t>
  </si>
  <si>
    <t>Beban Barang dan Jasa</t>
  </si>
  <si>
    <t>Beban Perjalanan Dinas</t>
  </si>
  <si>
    <t>Beban Barang Untuk Diserahkan Pada Masyarakat</t>
  </si>
  <si>
    <t>Beban Penyusutan dan Amortisasi</t>
  </si>
  <si>
    <t>Beban Penyisihan Piutang Tak Tertagih</t>
  </si>
  <si>
    <t>POS LUAR BIASA</t>
  </si>
  <si>
    <t>Pendapatan PNBP</t>
  </si>
  <si>
    <t>IV. LAPORAN PERUBAHAN EKUITAS</t>
  </si>
  <si>
    <t>EKUITAS AWAL</t>
  </si>
  <si>
    <t>Jumlah Lain-lain</t>
  </si>
  <si>
    <t>EKUITAS AKHIR</t>
  </si>
  <si>
    <t>V. CATATAN ATAS LAPORAN KEUANGAN</t>
  </si>
  <si>
    <t>Untuk mewujudkannya  akan dilakukan beberapa langkah-langkah strategis sebagai berikut:</t>
  </si>
  <si>
    <t>-</t>
  </si>
  <si>
    <t>Belanja</t>
  </si>
  <si>
    <t>Kualitas Piutang</t>
  </si>
  <si>
    <t>Lancar</t>
  </si>
  <si>
    <t>Kurang Lancar</t>
  </si>
  <si>
    <t>Diragukan</t>
  </si>
  <si>
    <t>Macet</t>
  </si>
  <si>
    <t>Aset Tetap</t>
  </si>
  <si>
    <t>Hal ini disebabkan oleh adanya program penghematan belanja pemerintah dan adanya perubahan kegiatan sesuai dengan kebutuhan dan situasi serta kondisi pada saat pelaksanaan. Perubahan tersebut berdasarkan sumber pendapatan dan jenis belanja adalah sebagai berikut:</t>
  </si>
  <si>
    <t>Pendapatan</t>
  </si>
  <si>
    <t>Jumlah Belanja</t>
  </si>
  <si>
    <t xml:space="preserve">Belanja Pegawai adalah belanja atas kompensasi, baik dalam bentuk uang maupun barang yang ditetapkan berdasarkan peraturan perundang-undangan yang diberikan kepada pejabat negara, Pegawai Negeri Sipil (PNS), dan pegawai yang dipekerjakan oleh pemerintah yang belum berstatus PNS sebagai imbalan atas pekerjaan yang telah dilaksanakan kecuali pekerjaan yang berkaitan dengan pembentukan modal. </t>
  </si>
  <si>
    <t>Belanja modal merupakan pengeluaran anggaran untuk perolehan aset tetap dan aset lainnya yang memberi manfaat lebih dari satu periode akuntansi.</t>
  </si>
  <si>
    <t>Rincian Kas di Bendahara Pengeluaran adalah sebagai berikut:</t>
  </si>
  <si>
    <t xml:space="preserve">Rincian Kas di Bendahara Pengeluaran </t>
  </si>
  <si>
    <t>Rincian Kas di Bendahara Penerimaan</t>
  </si>
  <si>
    <t>No</t>
  </si>
  <si>
    <t>Nilai Piutang Jk Pendek</t>
  </si>
  <si>
    <t>% Penyisihan</t>
  </si>
  <si>
    <t>Nilai Penyisihan</t>
  </si>
  <si>
    <t>Jumlah Penyisihan Piutang Tak Tertagih</t>
  </si>
  <si>
    <t>Jenis</t>
  </si>
  <si>
    <t>Rincian Persediaan</t>
  </si>
  <si>
    <t>Barang Konsumsi</t>
  </si>
  <si>
    <t>Suku Cadang</t>
  </si>
  <si>
    <t>Nilai</t>
  </si>
  <si>
    <t>Rincian aset tetap Gedung dan Bangunan disajikan pada Lampiran Laporan Keuangan ini.</t>
  </si>
  <si>
    <t>Mutasi transaksi terhadap Jalan, Irigasi,  dan Jaringan pada tanggal pelaporan adalah sebagai berikut:</t>
  </si>
  <si>
    <t>Nilai Perolehan</t>
  </si>
  <si>
    <t>Akumulasi Penyusutan</t>
  </si>
  <si>
    <t>Nilai Buku</t>
  </si>
  <si>
    <t>Jalan, Irigasi Bangunan</t>
  </si>
  <si>
    <t>Rincian akumulasi penyusutan aset tetap disajikan pada Lampiran A1 Laporan Keuangan ini.</t>
  </si>
  <si>
    <t>Ekuitas adalah kekayaan bersih entitas yang merupakan selisih antara aset dan kewajiban. Rincian lebih lanjut tentang ekuitas disajikan dalam Laporan Perubahan Ekuitas.</t>
  </si>
  <si>
    <t xml:space="preserve">Beban Pegawai adalah beban atas kompensasi, baik dalam bentuk uang maupun barang yang ditetapkan berdasarkan peraturan perundang-undangan yang diberikan kepada pejabat negara, Pegawai Negeri Sipil (PNS), dan pegawai yang dipekerjakan oleh pemerintahyang belum berstatus PNS sebagai imbalan atas pekerjaan yang telah dilaksanakan kecuali pekerjaan yang berkaitan dengan pembentukan modal. </t>
  </si>
  <si>
    <t>Beban Gaji</t>
  </si>
  <si>
    <t>Beban Tunjangan -Tunjangan</t>
  </si>
  <si>
    <t>Beban Honorarium dan Vakasi</t>
  </si>
  <si>
    <t>Beban Lembur</t>
  </si>
  <si>
    <t>Beban Persediaan Konsumsi</t>
  </si>
  <si>
    <t>Beban Persediaan Bahan Baku utuk Pemeliharaan</t>
  </si>
  <si>
    <t>Beban Persediaan Untuk Suku Cadang</t>
  </si>
  <si>
    <t>Beban Persediaan Lainnya</t>
  </si>
  <si>
    <t>Beban Barang Operasional</t>
  </si>
  <si>
    <t>Beban Langganan Daya dan Jasa</t>
  </si>
  <si>
    <t>Beban Jasa Pos dan Giro</t>
  </si>
  <si>
    <t>Beban Jasa Konsultan</t>
  </si>
  <si>
    <t>Beban Jasa Profesi</t>
  </si>
  <si>
    <t>Beban Jasa Lainnya</t>
  </si>
  <si>
    <t>Beban Aset Ekstrakomptabel Peralatan dan Mesin</t>
  </si>
  <si>
    <t>Beban Aset Ekstrakomptabel Gedung adn Bangunan</t>
  </si>
  <si>
    <t>Beban Aset Ekstrakomptabel  AsetTetap Lainnya</t>
  </si>
  <si>
    <t>Beban Pemeliharaan Gedung dan Bangunan</t>
  </si>
  <si>
    <t>Beban Pemeliharaan Peralatan dan Mesin</t>
  </si>
  <si>
    <t>Beban Pemeliharaan Lainnya</t>
  </si>
  <si>
    <t>Beban Perjalanan Biasa</t>
  </si>
  <si>
    <t>Beban PerjalananDinas Dalam Kota</t>
  </si>
  <si>
    <t>Beban Perjalanan Dinas Paket Meeting Dalam Kota</t>
  </si>
  <si>
    <t>Beban Perjalanan Dinas Paket Meeting Luar Kota</t>
  </si>
  <si>
    <t>Beban Barang untuk Diserahkan kepada Masyarakat</t>
  </si>
  <si>
    <t>Beban Barang Lainnya utk diserahkan kpd masy/pemda</t>
  </si>
  <si>
    <t>Beban Peralatan dan Mesin utk diserahkan kpd masy./pemda</t>
  </si>
  <si>
    <t xml:space="preserve">Beban Bantuan Sosial </t>
  </si>
  <si>
    <t>Beban Bansos utk Rehab. sosial</t>
  </si>
  <si>
    <t>Beban Bansos utk jaminan sosial</t>
  </si>
  <si>
    <t>Beban Bansos utk pemberdayaan sosial</t>
  </si>
  <si>
    <t xml:space="preserve">Beban Penyusutan dan Amortisasi </t>
  </si>
  <si>
    <t>Beban Penyusutan Peralatan dan Mesin</t>
  </si>
  <si>
    <t>Beban Penyusutan Gedung dan Bangunan</t>
  </si>
  <si>
    <t>Beban Penyusutan Jalan, Irigasi dan Jaringan</t>
  </si>
  <si>
    <t>Beban Penyusutan Aset Tetap Lainnya</t>
  </si>
  <si>
    <t>Jumlah Penyusutan</t>
  </si>
  <si>
    <t>Beban Amortisasi Aset Tak Berwujud</t>
  </si>
  <si>
    <t>Beban Pensutan Aset Lain-lain</t>
  </si>
  <si>
    <t>Jumlah Amortisasi</t>
  </si>
  <si>
    <t xml:space="preserve">Beban Penyisihan Piutang Tak Tertagih </t>
  </si>
  <si>
    <t>Beban Penyisihan Piutang Tak Tertagih - Piutang Lancar</t>
  </si>
  <si>
    <t>Beban Penyisihan Piutang Tak Tertagih - Piutang Non Lancar</t>
  </si>
  <si>
    <t xml:space="preserve">Surplus dari Kegiatan Non Operasional </t>
  </si>
  <si>
    <t xml:space="preserve">Pos Luar Biasa </t>
  </si>
  <si>
    <t>Koreksi</t>
  </si>
  <si>
    <t>Pendapatan Lainnya</t>
  </si>
  <si>
    <t>Hibah Peralatan dan Mesin</t>
  </si>
  <si>
    <t>Kota</t>
  </si>
  <si>
    <t xml:space="preserve">BELANJA </t>
  </si>
  <si>
    <t>% +/-</t>
  </si>
  <si>
    <t>NETTO SETELAH PENGEMBALIAN</t>
  </si>
  <si>
    <t>Belanja Modal Jalan, Irigasi, dan Jaringan</t>
  </si>
  <si>
    <t>Jalan, Irigasi dan Jaringan</t>
  </si>
  <si>
    <t xml:space="preserve">Pendapatan </t>
  </si>
  <si>
    <t>Penerimaan Bukan Pajak</t>
  </si>
  <si>
    <t xml:space="preserve">JUMLAH PENDAPATAN </t>
  </si>
  <si>
    <t>SURPLUS (DEFISIT) ASET DARI KEGIATAN NON OPERASIONAL</t>
  </si>
  <si>
    <t>Surplus/Defisit Pelepasan aset Non Lancar</t>
  </si>
  <si>
    <t>Surplus/Defisit Penyelesaian Kewajiban Jangka Panjang</t>
  </si>
  <si>
    <t>Surplus/Defisit dari Kegiatan Non Operasional Lainnya</t>
  </si>
  <si>
    <t xml:space="preserve">Semua jenis persediaan pada tanggal pelaporan berada dalam kondisi baik. </t>
  </si>
  <si>
    <t>Mutasi nilai tanah tersebut dapat dijelaskan sebagai berikut:</t>
  </si>
  <si>
    <t xml:space="preserve">Jalan, Jaringan dan Irigasi  </t>
  </si>
  <si>
    <t>Penjelasan LO</t>
  </si>
  <si>
    <t>Transaksi Antar Entitas (D)</t>
  </si>
  <si>
    <t>Koreksi Atas Pendapatan</t>
  </si>
  <si>
    <t>Penjelasan Laporan Perubahan Ekuitas</t>
  </si>
  <si>
    <t>Koreksi Nilai Aset Tetap</t>
  </si>
  <si>
    <t>Koreksi Nilai Saldo Awal</t>
  </si>
  <si>
    <t>Koreksi Atas Beban</t>
  </si>
  <si>
    <t>Pendapatan Jasa Pelatihan</t>
  </si>
  <si>
    <t>Koreksi Hibah Masuk/Keluar</t>
  </si>
  <si>
    <t>Koreksi atas Beban</t>
  </si>
  <si>
    <t>Template ini bersifat terbuka, jika ada kekeliruan mohon untuk diperbaiki seperlunya.</t>
  </si>
  <si>
    <t>Terima kasih semoga bermanfaat.</t>
  </si>
  <si>
    <t>Wonosobo</t>
  </si>
  <si>
    <t>Anggaran 2016</t>
  </si>
  <si>
    <t>Nama SKPD</t>
  </si>
  <si>
    <t>KABUPATEN</t>
  </si>
  <si>
    <t xml:space="preserve">PENDAPATAN </t>
  </si>
  <si>
    <t>PENDAPATAN ASLI DAERAH</t>
  </si>
  <si>
    <t>Lain-lain Pendapatan Yang Sah</t>
  </si>
  <si>
    <t>Pendapatan Transfer</t>
  </si>
  <si>
    <t>Pajak Daerah</t>
  </si>
  <si>
    <t>Retribusi Daerah</t>
  </si>
  <si>
    <t>Hasil Pengelolaan Kekayaan Daerah Yang Dipisahkan</t>
  </si>
  <si>
    <t>BELANJA TIDAK TERDUGA</t>
  </si>
  <si>
    <t>Pengadaan Alat Kantor</t>
  </si>
  <si>
    <t>Pengadaan Alat Rumah Tangga</t>
  </si>
  <si>
    <t>Pengadaan Komputer</t>
  </si>
  <si>
    <t>Pengadaan Alat Angkutan</t>
  </si>
  <si>
    <t>Jalan</t>
  </si>
  <si>
    <t>Irigasi</t>
  </si>
  <si>
    <t>Jembatan</t>
  </si>
  <si>
    <t>BELANJA  OPERASI</t>
  </si>
  <si>
    <t>Tahun Berjalan</t>
  </si>
  <si>
    <t>Tahun Lalu</t>
  </si>
  <si>
    <t>Belanja Operasi</t>
  </si>
  <si>
    <t>BELANJA TRANSFER</t>
  </si>
  <si>
    <t>PENDAPATAN TRANSFER</t>
  </si>
  <si>
    <t>LAIN-LAIN PENDAPATAN YANG SAH</t>
  </si>
  <si>
    <t>Pemerintah Kabupaten Wonosobo</t>
  </si>
  <si>
    <t>Pendapatan Asli Daerah</t>
  </si>
  <si>
    <t>Lain-Lain Pendapatan Yang Sah</t>
  </si>
  <si>
    <t>Transfer Pemerintah Provinsi</t>
  </si>
  <si>
    <t>Pendapatan Hibah</t>
  </si>
  <si>
    <t>Pendapatan Dana darurat</t>
  </si>
  <si>
    <t>Rp +/-</t>
  </si>
  <si>
    <t>JUMLAH</t>
  </si>
  <si>
    <t>Transfer Pemerintah Pusat-Dana Perimbangan</t>
  </si>
  <si>
    <t>URAIAN</t>
  </si>
  <si>
    <t>Realisasi TA 2016</t>
  </si>
  <si>
    <t>2.1</t>
  </si>
  <si>
    <t>Adapun rincian masing-masing belanja operasi sebagai berikut:</t>
  </si>
  <si>
    <t>Tambahan Penghasilan PNS</t>
  </si>
  <si>
    <t>Uang Lembur</t>
  </si>
  <si>
    <t>Belanja Bahan/Material</t>
  </si>
  <si>
    <t>Belanja Jasa Kantor</t>
  </si>
  <si>
    <t>Belanja Perawatan Kendaraan Bermotor</t>
  </si>
  <si>
    <t>Belanja Bahan Pakai Habis</t>
  </si>
  <si>
    <t>Belanja Cetak dan Penggandaan</t>
  </si>
  <si>
    <t>Belanja Sewa Rumah/Gedung/ Gudang/Parkir</t>
  </si>
  <si>
    <t>Belanja Sewa Sarana Mobilitas</t>
  </si>
  <si>
    <t>Belanja Sewa Perlengkapan dan Peralatan Kantor</t>
  </si>
  <si>
    <t>Belanja Makanan dan Minuman</t>
  </si>
  <si>
    <t>Belanja Pakaian Dinas dan Atributnya</t>
  </si>
  <si>
    <t>Belanja Perjalanan Dinas</t>
  </si>
  <si>
    <t>Belanja Barang yang Diserahkan kepada Masyarakat</t>
  </si>
  <si>
    <t>Belanaja Beasiswa Pendidikan PNS</t>
  </si>
  <si>
    <t>Belanja kursus pelatihan, sosialisasi dan Bintek PNS</t>
  </si>
  <si>
    <t>Belanja Honorarium Non Pegawai</t>
  </si>
  <si>
    <t>Honorarium PNS</t>
  </si>
  <si>
    <t>Honorarium Non PNS</t>
  </si>
  <si>
    <t>Belanja Stimulan, uang saku,hadiah penghargaan, penggantian biaya</t>
  </si>
  <si>
    <t>Belanja Barang dan Jasa BLUD</t>
  </si>
  <si>
    <t xml:space="preserve">Belanja Modal </t>
  </si>
  <si>
    <t>Anggaran (Rp)</t>
  </si>
  <si>
    <t>Realisasi (Rp)</t>
  </si>
  <si>
    <t>Jumlah Belanja Modal</t>
  </si>
  <si>
    <t>Belanja Peralatan dan Mesin</t>
  </si>
  <si>
    <t>Belanja Tanah</t>
  </si>
  <si>
    <t xml:space="preserve">Belanja Jalan, Irigasi dan Jaringan </t>
  </si>
  <si>
    <t>Belanja Modal Aset Tetap Lainnya</t>
  </si>
  <si>
    <t>BAB  I</t>
  </si>
  <si>
    <t>PENDAHULUAN</t>
  </si>
  <si>
    <t>Maksud Dan Tujuan Penyusunan Laporan Keuangan</t>
  </si>
  <si>
    <t>1.1</t>
  </si>
  <si>
    <t>Maksud</t>
  </si>
  <si>
    <t>Tujuan</t>
  </si>
  <si>
    <t>Tujuan umum laporan keuangan adalah menyajikan informasi mengenai posisi keuangan, realisasi anggaran, dan kinerja keuangan suatu entitas akuntansi yang bermanfaat bagi para pengguna dalam membuat dan mengevaluasi keputusan mengenai alokasi sumber daya, dengan :</t>
  </si>
  <si>
    <t>menyedikan informasi mengenai perubahan posisi sumber daya ekonomi. kewajiban, dan ekuitas dana pemerintah;</t>
  </si>
  <si>
    <t>menyediakan informasi mengenai sumber, alokasi dan penggunaan sumber ekonomi;</t>
  </si>
  <si>
    <t>menyediakan informasi mengenai ketaatan realisasi terhadap anggarannya;</t>
  </si>
  <si>
    <t>menyediakan informasi yang berguna untuk mengevaluasi kemampuan entitas pelaporan dalam mendanai aktivitasnya.</t>
  </si>
  <si>
    <t>1.2</t>
  </si>
  <si>
    <t>Landasan Hukum</t>
  </si>
  <si>
    <t>Undang-undang Nomor 17 Tahun 2003 tentang Keuangan Negara;</t>
  </si>
  <si>
    <t>Undang-undang Nomor 1 Tahun 2004 tentang Perbendaharaan Negara;</t>
  </si>
  <si>
    <t>Undang-undang Nomor 33 Tahun 2004, tentang Perimbangan Keuangan antara Pemerintah Pusat dan Pemerintah Daerah;</t>
  </si>
  <si>
    <t>Peraturan Pemerintah Nomor 23 tahun 2005 tentang Pengelolaan Keuangan Badan Layanan Umum;</t>
  </si>
  <si>
    <t>Peraturan Pemerintah Nomor 8 Tahun 2006 tentang Pelaporan Keuangan dan Kinerja Instansi Pemerintah;</t>
  </si>
  <si>
    <t>Peraturan Menteri Dalam Negeri Nomor 61 Tahun 2007 tentang Pedoman Teknis Pengelolaan Badan Layanan Umum Daerah;</t>
  </si>
  <si>
    <t>Peraturan Daerah Kabupaten Wonosobo Nomor 13 Tahun 2007 tentang Pengelolaan Keuangan Daerah Kabupaten Wonosobo (Lembaran Daerah Kabupaten Wonosobo Tahun 2008 Nomor 2, Tambahan Lembaran Daerah Kabupaten Wonosobo Tahun 2008      Nomor 2);</t>
  </si>
  <si>
    <t>Peraturan Daerah Kabupaten Wonosobo Nomor 12 Tahun 2016 tentang Organisasi Pemerintah Daerah Kabupaten Wonosobo;</t>
  </si>
  <si>
    <t>Peraturan Bupati Wonosobo Nomor 30 Tahun 2016 tentang Kebijakan Akuntansi Pemerintah Kabupaten Wonosobo;</t>
  </si>
  <si>
    <t xml:space="preserve">Bab. II    Ikhtisar pencapaian kinerja keuangan </t>
  </si>
  <si>
    <t>Bab. III   Penjelasan pos-pos laporan keuangan</t>
  </si>
  <si>
    <t>Sistematika Penulisan Catatan atas Laporan Keuangan</t>
  </si>
  <si>
    <t>1.3</t>
  </si>
  <si>
    <t xml:space="preserve">1.      Laporan Realisasi Anggaran </t>
  </si>
  <si>
    <t>menyediakan informasi mengenai potensi pemerintah untuk membiayai penyelenggaraan pemerintahan;</t>
  </si>
  <si>
    <t>menyediakan informasi mengenai cara entitas pelaporan mendanai aktivitasnya dan memenuhi kebutuhan kasnya;</t>
  </si>
  <si>
    <r>
      <t>Tujuan spesifik laporan keuangan</t>
    </r>
    <r>
      <rPr>
        <b/>
        <sz val="11"/>
        <color indexed="8"/>
        <rFont val="Bookman Old Style"/>
        <family val="1"/>
      </rPr>
      <t xml:space="preserve"> </t>
    </r>
    <r>
      <rPr>
        <sz val="11"/>
        <color indexed="8"/>
        <rFont val="Bookman Old Style"/>
        <family val="1"/>
      </rPr>
      <t>adalah untuk menyajikan informasi yang berguna untuk pengambilan keputusan dan untuk menunjukkan transparansi dan akuntabilitas entitas akuntansi atas sumber daya yang dipercayakan kepadanya sebagai bentuk pertanggungjawaban atas pelaksanaan APBD.</t>
    </r>
  </si>
  <si>
    <t xml:space="preserve">Bab. I   Pendahuluan </t>
  </si>
  <si>
    <t>1.1. Maksud dan Tujuan Penyusunan Laporan Keuangan</t>
  </si>
  <si>
    <t xml:space="preserve">1.2. Landasan Hukum Penyusunan Laporan Keuangan </t>
  </si>
  <si>
    <t>1.3. Sistematika Penulisan Catatan atas Laporan Keuangan</t>
  </si>
  <si>
    <t>3.1. Laporan Realisasi Anggaran</t>
  </si>
  <si>
    <t>3.1.1.  Pendapatan LRA</t>
  </si>
  <si>
    <t>menyediakan informasi mengenai sumber daya ekonomi, kewajiban, dan ekuitas dana pemerintah;</t>
  </si>
  <si>
    <t>Suatu entitas pelaporan mengungkapkan hal – hal berikut ini apabila belum diungkapkan dalam bagian manapun dari laporan keuangan, antara lain :</t>
  </si>
  <si>
    <t>1.1.1.</t>
  </si>
  <si>
    <t>1.1.1.02.</t>
  </si>
  <si>
    <t>1.1.1.03.</t>
  </si>
  <si>
    <t>1.1.1.04.</t>
  </si>
  <si>
    <t>1.1.2.</t>
  </si>
  <si>
    <t>1.1.3.</t>
  </si>
  <si>
    <t>1.1.3.04.</t>
  </si>
  <si>
    <t>1.1.4.</t>
  </si>
  <si>
    <t>1.1.5.</t>
  </si>
  <si>
    <t>1.1.5.01.</t>
  </si>
  <si>
    <t>1.1.7.</t>
  </si>
  <si>
    <t>1.1.7.01.</t>
  </si>
  <si>
    <t>1.1.7.02.</t>
  </si>
  <si>
    <t>1.2.</t>
  </si>
  <si>
    <t>1.2.1.</t>
  </si>
  <si>
    <t>1.2.2.</t>
  </si>
  <si>
    <t>1.3.</t>
  </si>
  <si>
    <t>1.3.1.</t>
  </si>
  <si>
    <t>1.3.1.01.</t>
  </si>
  <si>
    <t>1.3.2.</t>
  </si>
  <si>
    <t>1.3.2.01.</t>
  </si>
  <si>
    <t>1.3.2.03.</t>
  </si>
  <si>
    <t>1.3.2.04.</t>
  </si>
  <si>
    <t>1.3.2.14.</t>
  </si>
  <si>
    <t>1.3.2.15.</t>
  </si>
  <si>
    <t>1.3.2.16.</t>
  </si>
  <si>
    <t>1.3.2.17.</t>
  </si>
  <si>
    <t>1.3.2.18.</t>
  </si>
  <si>
    <t>1.3.2.19.</t>
  </si>
  <si>
    <t>1.3.2.20.</t>
  </si>
  <si>
    <t>1.3.2.21.</t>
  </si>
  <si>
    <t>1.3.2.22.</t>
  </si>
  <si>
    <t>1.3.2.23.</t>
  </si>
  <si>
    <t>1.3.3.</t>
  </si>
  <si>
    <t>1.3.3.01.</t>
  </si>
  <si>
    <t>1.3.3.02.</t>
  </si>
  <si>
    <t>1.3.4.</t>
  </si>
  <si>
    <t>1.3.4.02.</t>
  </si>
  <si>
    <t>1.3.5.</t>
  </si>
  <si>
    <t>1.3.5.01.</t>
  </si>
  <si>
    <t>1.3.6.</t>
  </si>
  <si>
    <t>1.3.6.01.</t>
  </si>
  <si>
    <t>1.3.7.</t>
  </si>
  <si>
    <t>1.3.7.01.</t>
  </si>
  <si>
    <t>1.3.7.02.</t>
  </si>
  <si>
    <t>1.3.7.03.</t>
  </si>
  <si>
    <t>1.4.</t>
  </si>
  <si>
    <t>1.5.</t>
  </si>
  <si>
    <t>1.5.1.</t>
  </si>
  <si>
    <t>1.5.2.</t>
  </si>
  <si>
    <t>1.5.3.</t>
  </si>
  <si>
    <t>1.5.3.05.</t>
  </si>
  <si>
    <t>1.5.3.06.</t>
  </si>
  <si>
    <t>1.5.4.</t>
  </si>
  <si>
    <t>1.5.4.01.</t>
  </si>
  <si>
    <t>2.1.</t>
  </si>
  <si>
    <t>2.1.1.</t>
  </si>
  <si>
    <t>2.1.1.03.</t>
  </si>
  <si>
    <t>2.1.1.04.</t>
  </si>
  <si>
    <t>2.1.1.07.</t>
  </si>
  <si>
    <t>2.1.2.</t>
  </si>
  <si>
    <t>2.1.3.</t>
  </si>
  <si>
    <t>2.1.4.</t>
  </si>
  <si>
    <t>2.1.5.</t>
  </si>
  <si>
    <t>2.1.5.01.</t>
  </si>
  <si>
    <t>2.1.5.02.</t>
  </si>
  <si>
    <t>2.1.5.03.</t>
  </si>
  <si>
    <t>2.2.</t>
  </si>
  <si>
    <t>3.1.</t>
  </si>
  <si>
    <t>3.1.1.01.</t>
  </si>
  <si>
    <t>Kas dan setara kas</t>
  </si>
  <si>
    <t>Piutang Pendapatan</t>
  </si>
  <si>
    <t>Penyisihan Piutang</t>
  </si>
  <si>
    <t>ASET LANCAR</t>
  </si>
  <si>
    <t>Kas dan Setara Kas</t>
  </si>
  <si>
    <t>Kas di BLUD</t>
  </si>
  <si>
    <t xml:space="preserve">Kas di Bendahara Penerimaan meliputi saldo uang tunai dan saldo rekening di bank yang berada di bawah tanggung jawab Bendahara Penerimaan yang sumbernya berasal dari pelaksanaan tugas pemerintahan berupa Penerimaan Daerah. </t>
  </si>
  <si>
    <t>Kas BLUD</t>
  </si>
  <si>
    <t xml:space="preserve">Piutang Pendapatan  merupakan hak atau pengakuan pemerintah atas uang atau jasa terhadap pelayanan yang telah diberikan namun belum diselesaikan pembayarannya. Rincian Piutang Pendapatan sebagai berikut: </t>
  </si>
  <si>
    <t>Rincian Piutang Pendapatan</t>
  </si>
  <si>
    <t>Piutang Pajak Daerah</t>
  </si>
  <si>
    <t>Piutang Retribusi</t>
  </si>
  <si>
    <t>Piutang Lain-lain PAD yang Sah</t>
  </si>
  <si>
    <t>Penjelasan masing-masing piutang sebagai berikut :</t>
  </si>
  <si>
    <t>SALDO AWAL</t>
  </si>
  <si>
    <t>SALDO AKHIR</t>
  </si>
  <si>
    <t>DEBIT</t>
  </si>
  <si>
    <t>2.933.317.200</t>
  </si>
  <si>
    <t>14.715.086.200</t>
  </si>
  <si>
    <t>3.222.834.800</t>
  </si>
  <si>
    <t>5.626.438.632</t>
  </si>
  <si>
    <t>38.904.776.062</t>
  </si>
  <si>
    <t>D</t>
  </si>
  <si>
    <t>K</t>
  </si>
  <si>
    <t>5.626.438.633</t>
  </si>
  <si>
    <t>5.626.438.634</t>
  </si>
  <si>
    <t>5.626.438.635</t>
  </si>
  <si>
    <t>5.626.438.636</t>
  </si>
  <si>
    <t>5.626.438.637</t>
  </si>
  <si>
    <t>Hotel</t>
  </si>
  <si>
    <t>Restoran</t>
  </si>
  <si>
    <t>Reklame</t>
  </si>
  <si>
    <t>PPJU</t>
  </si>
  <si>
    <t>Pajak Air Tanah</t>
  </si>
  <si>
    <t>PBB</t>
  </si>
  <si>
    <t>BPHTB</t>
  </si>
  <si>
    <t>KREDIT</t>
  </si>
  <si>
    <t>3.222.834.801</t>
  </si>
  <si>
    <t>3.222.834.802</t>
  </si>
  <si>
    <t>3.222.834.803</t>
  </si>
  <si>
    <t>3.222.834.804</t>
  </si>
  <si>
    <t>3.222.834.805</t>
  </si>
  <si>
    <t>3.222.834.806</t>
  </si>
  <si>
    <t>3.222.834.807</t>
  </si>
  <si>
    <t>NO. AKUN</t>
  </si>
  <si>
    <t>KOREKSI</t>
  </si>
  <si>
    <t>MUTASI</t>
  </si>
  <si>
    <t>1.1.</t>
  </si>
  <si>
    <t>1.1.1.01.</t>
  </si>
  <si>
    <t>Kas di Kas Daerah</t>
  </si>
  <si>
    <t>1.1.1.05.</t>
  </si>
  <si>
    <t>Kas Lainnya</t>
  </si>
  <si>
    <t>1.1.1.06.</t>
  </si>
  <si>
    <t>Setara Kas</t>
  </si>
  <si>
    <t>Investasi Jangka Pendek</t>
  </si>
  <si>
    <t>1.1.2.01.</t>
  </si>
  <si>
    <t>Investasi dalam Saham</t>
  </si>
  <si>
    <t>1.1.2.02.</t>
  </si>
  <si>
    <t>Investasi dalam Deposito</t>
  </si>
  <si>
    <t>1.1.2.03.</t>
  </si>
  <si>
    <t>Investasi dalam  SUN</t>
  </si>
  <si>
    <t>1.1.2.04.</t>
  </si>
  <si>
    <t>Investasi dalam SBI</t>
  </si>
  <si>
    <t>1.1.2.05.</t>
  </si>
  <si>
    <t>Investasi dalam SPN</t>
  </si>
  <si>
    <t>1.1.2.06.</t>
  </si>
  <si>
    <t>Investasi Jangka Pendek BLUD</t>
  </si>
  <si>
    <t>1.1.2.07.</t>
  </si>
  <si>
    <t>Investasi Jangka Pendek Lainnya</t>
  </si>
  <si>
    <t>1.1.3.01.</t>
  </si>
  <si>
    <t>1.1.3.02.</t>
  </si>
  <si>
    <t>1.1.3.03.</t>
  </si>
  <si>
    <t>Piutang Hasil Pengelolaan Kekayaan Daerah yang Dipisahkan</t>
  </si>
  <si>
    <t>1.1.3.08.</t>
  </si>
  <si>
    <t>Piutang Pendapatan Lainnya</t>
  </si>
  <si>
    <t>Piutang Lainnya</t>
  </si>
  <si>
    <t>1.1.4.01.</t>
  </si>
  <si>
    <t>Bagian Lancar Tagihan Jangka Panjang</t>
  </si>
  <si>
    <t>1.1.4.02.</t>
  </si>
  <si>
    <t>Bagian Lancar Tagihan Pinjaman Jangka Panjang kepada Entitas Lainnya</t>
  </si>
  <si>
    <t>1.1.4.03.</t>
  </si>
  <si>
    <t>1.1.4.04.</t>
  </si>
  <si>
    <t>Bagian lancar Tuntutan Ganti Kerugian Daerah</t>
  </si>
  <si>
    <t>1.1.4.05.</t>
  </si>
  <si>
    <t>Uang Muka</t>
  </si>
  <si>
    <t>Penyisihan Piutang Pendapatan</t>
  </si>
  <si>
    <t>1.1.5.02.</t>
  </si>
  <si>
    <t>Penyisihan Piutang Lainnya</t>
  </si>
  <si>
    <t>1.1.6.</t>
  </si>
  <si>
    <t>Beban Dibayar Dimuka</t>
  </si>
  <si>
    <t>1.1.6.01.</t>
  </si>
  <si>
    <t>Beban Pegawai  Dibayar Dimuka</t>
  </si>
  <si>
    <t>1.1.6.02.</t>
  </si>
  <si>
    <t>Beban Barang Dibayar Dimuka</t>
  </si>
  <si>
    <t>1.1.6.03.</t>
  </si>
  <si>
    <t>Beban Jasa Dibayar Dimuka</t>
  </si>
  <si>
    <t>1.1.6.04.</t>
  </si>
  <si>
    <t>Beban Pemeliharaan Dibayar Dimuka</t>
  </si>
  <si>
    <t>1.1.6.05.</t>
  </si>
  <si>
    <t>Beban Lainnya</t>
  </si>
  <si>
    <t>Persediaan Bahan Pakai Habis</t>
  </si>
  <si>
    <t>Persediaan Bahan/Material</t>
  </si>
  <si>
    <t>1.1.7.03.</t>
  </si>
  <si>
    <t>Persediaan Barang Lainnya</t>
  </si>
  <si>
    <t>1.1.8.</t>
  </si>
  <si>
    <t>1.1.8.01.</t>
  </si>
  <si>
    <t>RK SKPD</t>
  </si>
  <si>
    <t>INVESTASI JANGKA PANJANG</t>
  </si>
  <si>
    <t>Investasi Jangka Panjang Non Permanen</t>
  </si>
  <si>
    <t>1.2.1.01.</t>
  </si>
  <si>
    <t>Investasi Jangka Panjang kepada Entitas Lainnya</t>
  </si>
  <si>
    <t>1.2.1.02.</t>
  </si>
  <si>
    <t>Investasi dalam Obligasi</t>
  </si>
  <si>
    <t>1.2.1.03.</t>
  </si>
  <si>
    <t>Investasi  dalam Proyek Pembangunan</t>
  </si>
  <si>
    <t>1.2.1.04.</t>
  </si>
  <si>
    <t>Dana Bergulir</t>
  </si>
  <si>
    <t>1.2.1.05.</t>
  </si>
  <si>
    <t>Deposito Jangka Panjang</t>
  </si>
  <si>
    <t>1.2.1.06.</t>
  </si>
  <si>
    <t>Investasi Non Permanen Lainnya</t>
  </si>
  <si>
    <t>Dana Bergulir diragukan tertagih</t>
  </si>
  <si>
    <t>Investasi Jangka Panjang Permanen</t>
  </si>
  <si>
    <t>1.2.2.01.</t>
  </si>
  <si>
    <t>Penyertaan Modal Pemerintah Daerah</t>
  </si>
  <si>
    <t>1.2.2.02.</t>
  </si>
  <si>
    <t>Investasi Permanen Lainnya</t>
  </si>
  <si>
    <t>ASET TETAP</t>
  </si>
  <si>
    <t>Tanah Perkampungan</t>
  </si>
  <si>
    <t>1.3.1.02.</t>
  </si>
  <si>
    <t>Tanah Pertanian</t>
  </si>
  <si>
    <t>1.3.1.03.</t>
  </si>
  <si>
    <t>Tanah Perkebunan</t>
  </si>
  <si>
    <t>1.3.1.04.</t>
  </si>
  <si>
    <t>Kebun Campuran</t>
  </si>
  <si>
    <t>1.3.1.05.</t>
  </si>
  <si>
    <t>Hutan</t>
  </si>
  <si>
    <t>1.3.1.06.</t>
  </si>
  <si>
    <t>Kolam ilan</t>
  </si>
  <si>
    <t>1.3.1.07.</t>
  </si>
  <si>
    <t>Danau/Rawa</t>
  </si>
  <si>
    <t>1.3.1.08.</t>
  </si>
  <si>
    <t>Tanah Tandus/Rusak</t>
  </si>
  <si>
    <t>1.3.1.09.</t>
  </si>
  <si>
    <t>Alang-alang dan Padang Rumput</t>
  </si>
  <si>
    <t>1.3.1.10.</t>
  </si>
  <si>
    <t>Tanah Pengguna Lain</t>
  </si>
  <si>
    <t>1.3.1.11.</t>
  </si>
  <si>
    <t>Tanah Untuk Bangunan Gedung</t>
  </si>
  <si>
    <t>1.3.1.12.</t>
  </si>
  <si>
    <t>Tanah Pertambangan</t>
  </si>
  <si>
    <t>1.3.1.13.</t>
  </si>
  <si>
    <t>Tanah Untuk Bangunan Bukan Gedung</t>
  </si>
  <si>
    <t>Alat-Alat Besar Darat</t>
  </si>
  <si>
    <t>Alat-alat Bantu</t>
  </si>
  <si>
    <t>Alat Angkutan Darat Bermotor</t>
  </si>
  <si>
    <t>1.3.2.05.</t>
  </si>
  <si>
    <t>Alat Angkutan Berat Tak Bermotor</t>
  </si>
  <si>
    <t>1.3.2.11.</t>
  </si>
  <si>
    <t>Alat Ukur</t>
  </si>
  <si>
    <t>Alat Kantor</t>
  </si>
  <si>
    <t>Alat Rumah Tangga</t>
  </si>
  <si>
    <t>Komputer</t>
  </si>
  <si>
    <t>Meja Dan Kursi Kerja/Rapat Pejabat</t>
  </si>
  <si>
    <t>Alat Studio</t>
  </si>
  <si>
    <t>Alat Komunilasi</t>
  </si>
  <si>
    <t>Peralatan Pemancar</t>
  </si>
  <si>
    <t>Alat Kedokteran</t>
  </si>
  <si>
    <t>Alat Kesehatan</t>
  </si>
  <si>
    <t>Unit-Unit Laboratorium</t>
  </si>
  <si>
    <t>1.3.2.24.</t>
  </si>
  <si>
    <t>Alat Peraga/Praktek Sekolah</t>
  </si>
  <si>
    <t>1.3.2.29.</t>
  </si>
  <si>
    <t>Alat Laboratorium Lingkungan Hidup</t>
  </si>
  <si>
    <t>1.3.2.35.</t>
  </si>
  <si>
    <t>Alat Keamanan dan Perlindungan</t>
  </si>
  <si>
    <t>Bangunan Gedung Tempat Kerja</t>
  </si>
  <si>
    <t>Bangunan Gedung Tempat Tinggal</t>
  </si>
  <si>
    <t>1.3.3.03.</t>
  </si>
  <si>
    <t>Bangunan Menara</t>
  </si>
  <si>
    <t>1.3.3.04.</t>
  </si>
  <si>
    <t>Bangunan Bersejarah</t>
  </si>
  <si>
    <t>1.3.3.05.</t>
  </si>
  <si>
    <t>Tugu Peringatan</t>
  </si>
  <si>
    <t>1.3.3.06.</t>
  </si>
  <si>
    <t>Candi</t>
  </si>
  <si>
    <t>1.3.3.07.</t>
  </si>
  <si>
    <t>Monumen/Bangunan Bersejarah</t>
  </si>
  <si>
    <t>1.3.3.08.</t>
  </si>
  <si>
    <t>1.3.3.09.</t>
  </si>
  <si>
    <t>Rambu-Rambu</t>
  </si>
  <si>
    <t>Jalan, Irigasi, dan Jaringan</t>
  </si>
  <si>
    <t>1.3.4.01.</t>
  </si>
  <si>
    <t>1.3.4.03.</t>
  </si>
  <si>
    <t>Bangunan Air Irigasi</t>
  </si>
  <si>
    <t>1.3.4.06.</t>
  </si>
  <si>
    <t>Bangunan Pengaman Sungai dan Penanggulangan Bencana Alam</t>
  </si>
  <si>
    <t>1.3.4.07.</t>
  </si>
  <si>
    <t>Bangunan Pengembangan Sumber Air dan Air Tanah</t>
  </si>
  <si>
    <t>1.3.4.08.</t>
  </si>
  <si>
    <t>Bangunan Air Bersih/Baku</t>
  </si>
  <si>
    <t>1.3.4.09.</t>
  </si>
  <si>
    <t>Bangunan Air Kotor</t>
  </si>
  <si>
    <t>1.3.4.10.</t>
  </si>
  <si>
    <t>Bangunan Air</t>
  </si>
  <si>
    <t>Buku</t>
  </si>
  <si>
    <t>1.3.5.02.</t>
  </si>
  <si>
    <t>Terbitan</t>
  </si>
  <si>
    <t>1.3.5.03.</t>
  </si>
  <si>
    <t>Barang-Barang Perpustakaan</t>
  </si>
  <si>
    <t>1.3.5.04.</t>
  </si>
  <si>
    <t>Barang Bercorak Kebudayaan</t>
  </si>
  <si>
    <t>1.3.5.05.</t>
  </si>
  <si>
    <t>Alat Olah Raga Lainnya</t>
  </si>
  <si>
    <t>1.3.5.06.</t>
  </si>
  <si>
    <t>Hewan</t>
  </si>
  <si>
    <t>1.3.5.07.</t>
  </si>
  <si>
    <t>Tanaman</t>
  </si>
  <si>
    <t>1.3.5.08.</t>
  </si>
  <si>
    <t>Aset Tetap Renovasi</t>
  </si>
  <si>
    <t>Konstruksi Dalam Pengerjaan</t>
  </si>
  <si>
    <t>Akumulasi Penyusutan Peralatan dan Mesin</t>
  </si>
  <si>
    <t>Akumulasi Penyusutan Gedung dan Bangunan</t>
  </si>
  <si>
    <t>Akumulasi Penyusutan Jalan, Irigasi, dan jaringan</t>
  </si>
  <si>
    <t>DANA CADANGAN</t>
  </si>
  <si>
    <t>1.4.1.</t>
  </si>
  <si>
    <t>Dana Cadangan</t>
  </si>
  <si>
    <t>ASET LAINNYA</t>
  </si>
  <si>
    <t>Tagihan Jangka Panjang</t>
  </si>
  <si>
    <t>1.5.1.02.</t>
  </si>
  <si>
    <t>Tuntutan Ganti Kerugian Daerah</t>
  </si>
  <si>
    <t>Kemitraan dengan Pihak Ketiga</t>
  </si>
  <si>
    <t>1.5.2.01.</t>
  </si>
  <si>
    <t>Sewa</t>
  </si>
  <si>
    <t>1.5.2.02.</t>
  </si>
  <si>
    <t>Kerjasama Pemanfaatan</t>
  </si>
  <si>
    <t>1.5.2.03.</t>
  </si>
  <si>
    <t>Bangun guna serah</t>
  </si>
  <si>
    <t>1.5.2.04.</t>
  </si>
  <si>
    <t>Bangun serah guna</t>
  </si>
  <si>
    <t>Aset Tidak Berwujud</t>
  </si>
  <si>
    <t>1.5.3.01.</t>
  </si>
  <si>
    <t>Goodwill</t>
  </si>
  <si>
    <t>1.5.3.02.</t>
  </si>
  <si>
    <t>Lisensi dan frenchise</t>
  </si>
  <si>
    <t>1.5.3.03.</t>
  </si>
  <si>
    <t>Hak Cipta</t>
  </si>
  <si>
    <t>1.5.3.04.</t>
  </si>
  <si>
    <t>Paten</t>
  </si>
  <si>
    <t>Aset Tidak Berwujud Lainnya</t>
  </si>
  <si>
    <t>Akumulasi Amortisasi Aset Tidak Berwujud</t>
  </si>
  <si>
    <t>Utang Perhitungan Pihak Ketiga (PFK)</t>
  </si>
  <si>
    <t>2.1.1.01.</t>
  </si>
  <si>
    <t>Utang Taspen</t>
  </si>
  <si>
    <t>2.1.1.02.</t>
  </si>
  <si>
    <t>Utang Iuran Jaminan Kesehatan</t>
  </si>
  <si>
    <t>Utang PPh Pusat</t>
  </si>
  <si>
    <t>Utang  PPN Pusat</t>
  </si>
  <si>
    <t>2.1.1.05.</t>
  </si>
  <si>
    <t>Utang Taperum</t>
  </si>
  <si>
    <t>2.1.1.06.</t>
  </si>
  <si>
    <t>Utang Iuran Wajib Pegawai</t>
  </si>
  <si>
    <t>Utang Perhitungan Pihak Ketiga Lainnya</t>
  </si>
  <si>
    <t>2.1.1.08.</t>
  </si>
  <si>
    <t>Utang Jaminan</t>
  </si>
  <si>
    <t>Utang Bunga</t>
  </si>
  <si>
    <t>2.1.2.01.</t>
  </si>
  <si>
    <t>Utang Bunga kepada Pemerintah</t>
  </si>
  <si>
    <t>2.1.2.02.</t>
  </si>
  <si>
    <t>Utang Bunga kepada Pemerintah Daerah Lainnya</t>
  </si>
  <si>
    <t>2.1.2.03.</t>
  </si>
  <si>
    <t>Utang Bunga Kepada BUMN/BUMD</t>
  </si>
  <si>
    <t>2.1.2.04.</t>
  </si>
  <si>
    <t>Utang Bunga kepada Bank/Lembaga Keuangan Bukan Bank</t>
  </si>
  <si>
    <t>2.1.2.05.</t>
  </si>
  <si>
    <t>Utang Bunga Dalam Negeri Lainnya</t>
  </si>
  <si>
    <t>2.1.2.06.</t>
  </si>
  <si>
    <t>Utang Bunga Luar Negeri</t>
  </si>
  <si>
    <t>Bagian Lancar Utang Jangka Panjang</t>
  </si>
  <si>
    <t>2.1.3.01.</t>
  </si>
  <si>
    <t>Bagian Lancar Utang Dalam Negeri Sektor Perbankan</t>
  </si>
  <si>
    <t>2.1.3.02.</t>
  </si>
  <si>
    <t>Bagian Lancar Utang dari Lembaga Keuangan Bukan Bank</t>
  </si>
  <si>
    <t>2.1.3.03.</t>
  </si>
  <si>
    <t>Bagian Lancar Utang Pemerintah Pusat</t>
  </si>
  <si>
    <t>2.1.3.04.</t>
  </si>
  <si>
    <t>Bagian Lancar Utang Pemerintah Provinsi Lainnya</t>
  </si>
  <si>
    <t>2.1.3.05.</t>
  </si>
  <si>
    <t>Bagian Lancar Utang Pemerintah Kabupaten/Kota</t>
  </si>
  <si>
    <t>Pendapatan Diterima Dimuka</t>
  </si>
  <si>
    <t>2.1.4.01.</t>
  </si>
  <si>
    <t>Setoran Kelebihan Pembayaran Dari Pihak III</t>
  </si>
  <si>
    <t>2.1.4.02.</t>
  </si>
  <si>
    <t>Uang Muka Penjualan Produk Pemda Dari Pihak III</t>
  </si>
  <si>
    <t>2.1.4.03.</t>
  </si>
  <si>
    <t>Uang Muka Lelang Penjualan Aset Daerah</t>
  </si>
  <si>
    <t>2.1.4.04.</t>
  </si>
  <si>
    <t>Pendapatan Diterima Dimuka lainnya</t>
  </si>
  <si>
    <t>Utang Belanja</t>
  </si>
  <si>
    <t>Utang Belanja Pegawai</t>
  </si>
  <si>
    <t>Utang Belanja Barang dan Jasa</t>
  </si>
  <si>
    <t>Utang Belanja Modal</t>
  </si>
  <si>
    <t>2.1.5.04.</t>
  </si>
  <si>
    <t>Utang Belanja Subsidi</t>
  </si>
  <si>
    <t>2.1.5.05.</t>
  </si>
  <si>
    <t>Utang Transfer Pemerintah Daerah Lainnya</t>
  </si>
  <si>
    <t>2.1.5.06.</t>
  </si>
  <si>
    <t>Utang Belanja Lain-lain</t>
  </si>
  <si>
    <t>2.1.6.</t>
  </si>
  <si>
    <t>Utang Jangka Pendek Lainnya</t>
  </si>
  <si>
    <t>2.1.6.01.</t>
  </si>
  <si>
    <t>Utang Kelebihan Pembayaran PAD</t>
  </si>
  <si>
    <t>2.1.6.02.</t>
  </si>
  <si>
    <t>Utang Kelebihan Pembayaran Transfer</t>
  </si>
  <si>
    <t>2.1.6.03.</t>
  </si>
  <si>
    <t>Utang Kelebihan Pembayaran Lain-Lain Pendapatan yang Sah</t>
  </si>
  <si>
    <t>2.1.6.04.</t>
  </si>
  <si>
    <t>Utang Transfer</t>
  </si>
  <si>
    <t>2.1.6.05.</t>
  </si>
  <si>
    <t>2.2.1.</t>
  </si>
  <si>
    <t>Utang Dalam Negeri</t>
  </si>
  <si>
    <t>2.2.1.01.</t>
  </si>
  <si>
    <t>Utang Dalam Negeri Sektor Perbankan</t>
  </si>
  <si>
    <t>2.2.1.02.</t>
  </si>
  <si>
    <t>Utang Dari Lembaga Keuangan Bukan Bank</t>
  </si>
  <si>
    <t>2.2.1.03.</t>
  </si>
  <si>
    <t>Utang Dalam Negeri-Obligasi</t>
  </si>
  <si>
    <t>2.2.1.04.</t>
  </si>
  <si>
    <t>Utang Pemerintah Pusat</t>
  </si>
  <si>
    <t>2.2.1.05.</t>
  </si>
  <si>
    <t>Utang Pemerintah Daerah Lainnya</t>
  </si>
  <si>
    <t>2.2.1.06.</t>
  </si>
  <si>
    <t>Utang Dalam Negeri Lainnya</t>
  </si>
  <si>
    <t>2.2.2.</t>
  </si>
  <si>
    <t>Utang Jangka Panjang Lainnya</t>
  </si>
  <si>
    <t>2.2.2.01.</t>
  </si>
  <si>
    <t>EKUITAS</t>
  </si>
  <si>
    <t>3.1.1.</t>
  </si>
  <si>
    <t>TOTAL KEWAJIBAN DAN EKUITAS</t>
  </si>
  <si>
    <t>Beban di Bayar di Muka</t>
  </si>
  <si>
    <t>5.626.438.638</t>
  </si>
  <si>
    <t>5.626.438.639</t>
  </si>
  <si>
    <t>Piutang BLUD</t>
  </si>
  <si>
    <t>Bagian Lancar Tuntutan Ganti Kerugian Daerah</t>
  </si>
  <si>
    <t>Adapun rincian dari masing-masing persediaan adalah sebagai berikut :</t>
  </si>
  <si>
    <t xml:space="preserve">Alat Tulis Kantor </t>
  </si>
  <si>
    <t>Cetak</t>
  </si>
  <si>
    <t>Kebersihan</t>
  </si>
  <si>
    <t>Tabung Gas</t>
  </si>
  <si>
    <t xml:space="preserve">Pakaian Kerja Lapangan </t>
  </si>
  <si>
    <t xml:space="preserve">Bahan dan Alat Rumah Tangga </t>
  </si>
  <si>
    <t xml:space="preserve">Bahan Makanan Pasien </t>
  </si>
  <si>
    <t>Obat</t>
  </si>
  <si>
    <t>Kimia</t>
  </si>
  <si>
    <t>Radiologi</t>
  </si>
  <si>
    <t>2.933.317.201</t>
  </si>
  <si>
    <t>14.715.086.201</t>
  </si>
  <si>
    <t>2.933.317.202</t>
  </si>
  <si>
    <t>14.715.086.202</t>
  </si>
  <si>
    <t>2.933.317.203</t>
  </si>
  <si>
    <t>14.715.086.203</t>
  </si>
  <si>
    <t>Aset Untuk Dikonsolidasilan</t>
  </si>
  <si>
    <t>Periode berjalan</t>
  </si>
  <si>
    <t>Periode tahun lalu</t>
  </si>
  <si>
    <t>Mutasi</t>
  </si>
  <si>
    <t>Saldo Awal</t>
  </si>
  <si>
    <t>Saldo Akhir</t>
  </si>
  <si>
    <t>Penjelasan Mutasi :</t>
  </si>
  <si>
    <t>Mutasi nilai Peralatan dan Mesin tersebut dapat dijelaskan sebagai berikut:</t>
  </si>
  <si>
    <t>Penjelasan mutasi :</t>
  </si>
  <si>
    <t xml:space="preserve">a. </t>
  </si>
  <si>
    <t>Alat-alat Besar Darat</t>
  </si>
  <si>
    <t>Alat  Ukur</t>
  </si>
  <si>
    <t>Alat  Kantor</t>
  </si>
  <si>
    <t>Alat  Rumah Tangga</t>
  </si>
  <si>
    <t>i.</t>
  </si>
  <si>
    <t>j.</t>
  </si>
  <si>
    <t>k.</t>
  </si>
  <si>
    <t>l.</t>
  </si>
  <si>
    <t>Tugu Titik Kontrol/Pasti</t>
  </si>
  <si>
    <t>Akumulasi Aset Tetap Lainnya</t>
  </si>
  <si>
    <t>BAB II</t>
  </si>
  <si>
    <t>IKHTISAR PENCAPIAN KINERJA KEUANGAN</t>
  </si>
  <si>
    <t>Iktisar Realisasi Pencapaian Target Kinerja Keuangan.</t>
  </si>
  <si>
    <t>c.</t>
  </si>
  <si>
    <t>Adapun rincian masing-masing pendapatan asli daerah adalah sebagai berikut :</t>
  </si>
  <si>
    <t>Adapun rincian masing-masing pendapatan transfer adalah sebagai berikut :</t>
  </si>
  <si>
    <t>Adapun rincian lain-lain pendapatan yang sah adalah sebagai berikut :</t>
  </si>
  <si>
    <t xml:space="preserve">ASET </t>
  </si>
  <si>
    <t>4.</t>
  </si>
  <si>
    <t xml:space="preserve"> Kewajiban</t>
  </si>
  <si>
    <t>d.</t>
  </si>
  <si>
    <t>e.</t>
  </si>
  <si>
    <t>f.</t>
  </si>
  <si>
    <t>Pendapatan Asli Daerah (PAD)</t>
  </si>
  <si>
    <t>Pendapatan Retribusi Daerah</t>
  </si>
  <si>
    <t>Dana Alokasi Umum</t>
  </si>
  <si>
    <t>Dana Alokasi Khusus</t>
  </si>
  <si>
    <t>TRANSFER PEMERINTAH PUSAT LAINNYA</t>
  </si>
  <si>
    <t>TRANSFER PEMERINTAH PROVINSI</t>
  </si>
  <si>
    <t>Beban Bunga</t>
  </si>
  <si>
    <t>Beban Subsidi</t>
  </si>
  <si>
    <t>Beban Hibah</t>
  </si>
  <si>
    <t>Beban Transfer</t>
  </si>
  <si>
    <t>Beban Lain-lain</t>
  </si>
  <si>
    <t>Pendapatan Pajak Daerah</t>
  </si>
  <si>
    <t>Pajak Hotel</t>
  </si>
  <si>
    <t>Pajak Restoran</t>
  </si>
  <si>
    <t>Pajak HIburan</t>
  </si>
  <si>
    <t>Pajak Reklame</t>
  </si>
  <si>
    <t>Pajak Penerangan Jalan</t>
  </si>
  <si>
    <t>Pajak Pengambilan Bahan Galian Golongan C</t>
  </si>
  <si>
    <t>Pajak Parkir</t>
  </si>
  <si>
    <t>Pajak Air Bawah Tanah</t>
  </si>
  <si>
    <t>Pajak Bumi dan Bangunan (PBB)</t>
  </si>
  <si>
    <t>Pajak Bea Perolehan Hak atas Tanah dan Bangunan (BPHTB)</t>
  </si>
  <si>
    <t>Retribusi Jasa Umum</t>
  </si>
  <si>
    <t>Retribusi Pelayanan Kesehatan</t>
  </si>
  <si>
    <t>Retribusi Pelayanan Persampahan/Kebersihan</t>
  </si>
  <si>
    <t>Retribusi Pelayanan Parkir di Tepi Jalan Umum</t>
  </si>
  <si>
    <t>Retribusi Pelayanan Pasar</t>
  </si>
  <si>
    <t>Retribusi Pengujian Kendaraan Bermotor</t>
  </si>
  <si>
    <t>Retribusi Pelayanan Pendidikan</t>
  </si>
  <si>
    <t>Retribusi Tower</t>
  </si>
  <si>
    <t>Retribusi Jasa Usaha</t>
  </si>
  <si>
    <t>Retribusi Pemakaian Kekayaan Daerah</t>
  </si>
  <si>
    <t>Retribusi Terminal</t>
  </si>
  <si>
    <t>Retribusi Tempat Khusus Parkir</t>
  </si>
  <si>
    <t>Retribusi Rumah Potong Hewan</t>
  </si>
  <si>
    <t>Retribusi Tempat Rekreasi dan Olah Raga</t>
  </si>
  <si>
    <t>Retribusi Penjualan Produksi Usaha Daerah</t>
  </si>
  <si>
    <t>Retribusi MCK</t>
  </si>
  <si>
    <t>Retribusi Perizinan Tertentu</t>
  </si>
  <si>
    <t>Retribusi Izin Mendirikan Bangunan</t>
  </si>
  <si>
    <t>Retribusi Izin Gangguan/Keramaian</t>
  </si>
  <si>
    <t>Retribusi Trayek</t>
  </si>
  <si>
    <t>Pendapatan Hasil Pengelolaan Kekayaan Daerah yang Dipisahkan</t>
  </si>
  <si>
    <t>Bagian Laba atas Penyertaan Modal pada Perusahaan Milik Daerah/BUMD</t>
  </si>
  <si>
    <t>Perusahaan Daerah Air Minum</t>
  </si>
  <si>
    <t>PD. BPR Bank  Wonosobo</t>
  </si>
  <si>
    <t>PD BPR BKK Wonosobo</t>
  </si>
  <si>
    <t>PD Bhakti Husada</t>
  </si>
  <si>
    <t>PT Bank Jateng</t>
  </si>
  <si>
    <t>PD BKK Kertek</t>
  </si>
  <si>
    <t>Bagian Laba atas Penyertaan Modal pada Perusahaan Milik Swasta</t>
  </si>
  <si>
    <t>PT Tambi</t>
  </si>
  <si>
    <t>PT Bimolukar (Apotik Cahaya)</t>
  </si>
  <si>
    <t>Pendapatan Asli Daerah Lainnya</t>
  </si>
  <si>
    <t>Hasil Penjualan Aset Daerah yang Tidak Dipisahkan</t>
  </si>
  <si>
    <t>Pelepasan Hak Atas Tanah</t>
  </si>
  <si>
    <t>Penjualan Peralatan/Perlengkapan Kantor Tidak Terpakai</t>
  </si>
  <si>
    <t>Penjualan Kendaraan Dinas Roda Dua</t>
  </si>
  <si>
    <t>Penjualan Drum Bekas</t>
  </si>
  <si>
    <t>Penjualan Bahan-bahan Bekas Bangunan</t>
  </si>
  <si>
    <t>Inseminasi Buatan</t>
  </si>
  <si>
    <t>Penerimaan Jasa Giro</t>
  </si>
  <si>
    <t>Jasa Giro Kas Daerah</t>
  </si>
  <si>
    <t>Jasa Giro Pemegang Kas</t>
  </si>
  <si>
    <t>Penerimaan Bunga Deposito</t>
  </si>
  <si>
    <t>Rekening Deposito Pada Bank Jateng</t>
  </si>
  <si>
    <t>Rekening Deposito Pada BRI</t>
  </si>
  <si>
    <t>Rekening Deposito Pada BNI 46</t>
  </si>
  <si>
    <t>Rekening Deposito Pada Bank Mandiri</t>
  </si>
  <si>
    <t>Tuntutan Ganti Kerugian Daerah (TGR)</t>
  </si>
  <si>
    <t>Kerugian Uang</t>
  </si>
  <si>
    <t>Kerugian Barang</t>
  </si>
  <si>
    <t>Pendapatan Denda Keterlambatan Pelaksanaan Pekerjaan</t>
  </si>
  <si>
    <t>Bidang Pekerjaan Umum</t>
  </si>
  <si>
    <t>Pendapatan Denda Retribusi</t>
  </si>
  <si>
    <t>Pendapatan Denda Retribusi Jasa Umum</t>
  </si>
  <si>
    <t>Pendapatan Dari Pengembalian</t>
  </si>
  <si>
    <t>Pendapatan dari Pengembalian Belanja</t>
  </si>
  <si>
    <t>Pendapatan BLUD</t>
  </si>
  <si>
    <t>Pendapatan Jasa Layanan Umum BLUD</t>
  </si>
  <si>
    <t>Pendapatan BLUD Puskesmas</t>
  </si>
  <si>
    <t>Hasil dari pengelolaan dana bergulir</t>
  </si>
  <si>
    <t>Sumbangan Pihak Ketiga</t>
  </si>
  <si>
    <t>Pendapatan Lain-lain PAD yang Sah</t>
  </si>
  <si>
    <t>Bagi Hasil Pajak</t>
  </si>
  <si>
    <t>Bagi Hasil dari Pajak Bumi dan Bangunan</t>
  </si>
  <si>
    <t>Bagi Hasil dari Pajak Penghasilan (PPH) Pasal 25 dan Pasa;l 29 Wajib Pajak Orang Pribadi Dalam Neger</t>
  </si>
  <si>
    <t>Bagi Hasil Cukai Hasil Tembakau</t>
  </si>
  <si>
    <t>Bagi Hasil Bukan Pajak/Sumber Daya Alam</t>
  </si>
  <si>
    <t>Bagi Hasil Dari Provisi Sumber Daya Hutan</t>
  </si>
  <si>
    <t>Bagi Hasil Dari Pungutan Hasil Perikanan</t>
  </si>
  <si>
    <t>Bagi Hasil Dari Pertambangan Minyak Bumi</t>
  </si>
  <si>
    <t>Bagi Hasil Dari Pertambangan Gas Bumi</t>
  </si>
  <si>
    <t>Bagi Hasil Dari Pertambangan Panas Bumi</t>
  </si>
  <si>
    <t>Bagi Hasil SDA Pertambangan</t>
  </si>
  <si>
    <t>Dana Alokasi Khusus (DAK) Fisik</t>
  </si>
  <si>
    <t>DAK Bidang Pendidikan</t>
  </si>
  <si>
    <t>DAK Bidang Kesehatan dan KB</t>
  </si>
  <si>
    <t>DAK Bidang Perumahan, Air Minum dan Sanitasi</t>
  </si>
  <si>
    <t>DAK Bidang Kedaulatan Pangan</t>
  </si>
  <si>
    <t>DAK Bidang Kelautan dan Perikanan</t>
  </si>
  <si>
    <t>DAK Bidang Prasarana Pemerintahan Daerah</t>
  </si>
  <si>
    <t>DAK Bidang Lingkungan Hidup dan Kehutanan</t>
  </si>
  <si>
    <t>DAK Bidang Transportasi</t>
  </si>
  <si>
    <t>DAK Bidang Sarana Prasarana Perdagangan</t>
  </si>
  <si>
    <t>DAK IPD</t>
  </si>
  <si>
    <t>Dana Alokasi Khusus (DAK) Non Fisik</t>
  </si>
  <si>
    <t>DAK Bantuan Operasional Penyelenggaraan PAUD</t>
  </si>
  <si>
    <t>DAK Tunjangan Profesi Guru</t>
  </si>
  <si>
    <t>DAK Tambahan Penghasilan Guru</t>
  </si>
  <si>
    <t>DAK Bantuan Operasional Kesehatan</t>
  </si>
  <si>
    <t>DAK Akreditasi Puskesmas</t>
  </si>
  <si>
    <t>DAK Jaminan Persalinan</t>
  </si>
  <si>
    <t>DAK Bantuan Operasional KB</t>
  </si>
  <si>
    <t>PENDAPATAN BAGI HASIL PAJAK</t>
  </si>
  <si>
    <t>Dana Bagi Hasil Pajak Dari Provinsi</t>
  </si>
  <si>
    <t>Bagi Hasil Dari Pajak Kendaraan Bermotor</t>
  </si>
  <si>
    <t>Bagi Hasil Dari Bea Balik Nama Kendaraan Bermotor</t>
  </si>
  <si>
    <t>Bagi Hasil Dari Pajak Bahan Bakar Kendaraan Bermotor</t>
  </si>
  <si>
    <t>Bagi Hasil Dari Pajak Pengambilan dan Pemanfaatan Air Permukaan</t>
  </si>
  <si>
    <t>Bagi Hasil Pajak Rokok</t>
  </si>
  <si>
    <t>PENDAPATAN BAGI HASIL LAINNYA</t>
  </si>
  <si>
    <t>LAIN-LAIN PENDAPATAN DAERAH YANG SAH</t>
  </si>
  <si>
    <t>Pendapatan Hibah Dari Pemerintah</t>
  </si>
  <si>
    <t>Pendapatan Dana Darurat</t>
  </si>
  <si>
    <t>Bantuan Keuangan Dari Provinsi</t>
  </si>
  <si>
    <t>FEDEP</t>
  </si>
  <si>
    <t>TMMD</t>
  </si>
  <si>
    <t>Profil Daerah</t>
  </si>
  <si>
    <t>Bantuan Sarana Prasarana</t>
  </si>
  <si>
    <t>Bantuan Pendidikan</t>
  </si>
  <si>
    <t>PUS</t>
  </si>
  <si>
    <t>TKPKD</t>
  </si>
  <si>
    <t>GAKY</t>
  </si>
  <si>
    <t>Bantuan Operasional Rintisan Desa Berdikari</t>
  </si>
  <si>
    <t>Bantuan Operasional Pendampingan KPMD</t>
  </si>
  <si>
    <t>Dana Desa Yang Bersumber dari APBN</t>
  </si>
  <si>
    <t>Dana Desa Yang Bersumber Dari APBN</t>
  </si>
  <si>
    <t>BEBAN LO</t>
  </si>
  <si>
    <t>Belanja Gaji dan Tunjangan</t>
  </si>
  <si>
    <t>Gaji Pokok PNS/Uang Representasi</t>
  </si>
  <si>
    <t>Tunjangan Keluarga</t>
  </si>
  <si>
    <t>Tunjangan Jabatan</t>
  </si>
  <si>
    <t>Tunjangan Fungsional</t>
  </si>
  <si>
    <t>Tunjangan Fungsional Umum</t>
  </si>
  <si>
    <t>Tunjangan Beras</t>
  </si>
  <si>
    <t>Tunjangan PPh/Tunjangan Khusus</t>
  </si>
  <si>
    <t>Pembulatan Gaji</t>
  </si>
  <si>
    <t>Iuran Asuransi Kesehatan</t>
  </si>
  <si>
    <t>Uang Paket</t>
  </si>
  <si>
    <t>Tunjangan Panitia Musyawarah</t>
  </si>
  <si>
    <t>Tunjangan Komisi</t>
  </si>
  <si>
    <t>Tunjangan Panitia Anggaran</t>
  </si>
  <si>
    <t>Tunjangan Badan Kehormatan</t>
  </si>
  <si>
    <t>Tunjangan Alat Kelengkapan Lainnya</t>
  </si>
  <si>
    <t>Tunjangan Perumahan</t>
  </si>
  <si>
    <t>Uang Duka Wafat/Tewas</t>
  </si>
  <si>
    <t>Uang Jasa Pengabdian</t>
  </si>
  <si>
    <t>Belanja Penunjang Operasional Pimpinan DPRD</t>
  </si>
  <si>
    <t>Tunjangan Profesi guru</t>
  </si>
  <si>
    <t>Iuran Asuransi Kecelakaan Kerja dan Kematian</t>
  </si>
  <si>
    <t>Belanja Tambahan Penghasilan PNS</t>
  </si>
  <si>
    <t>Tambahan Penghasilan Berdasarkan Beban Kerja</t>
  </si>
  <si>
    <t>Belanja Penerimaan lainnya Pimpinan dan anggota DPRD serta KDH/WKDH</t>
  </si>
  <si>
    <t>Belanja Penunjang Komunikasi Insentif Pimpinan Dan Anggota DPRD</t>
  </si>
  <si>
    <t>Belanja Penunjang Operasional KDH/WKDH</t>
  </si>
  <si>
    <t>Insentif Pemungutan Pajak Daerah</t>
  </si>
  <si>
    <t>Biaya Pemungutan Pajak Daerah</t>
  </si>
  <si>
    <t>Insentif Pemungutan Retribusi Daerah</t>
  </si>
  <si>
    <t>Honorarium Panitia Pelaksana Kegiatan</t>
  </si>
  <si>
    <t>Honorarium Tim/ Pejabat Pengadaan Barang Dan Jasa</t>
  </si>
  <si>
    <t>Honorarium Pengelola Uang dan Penatausahaan Keuangan</t>
  </si>
  <si>
    <t>Honorarium Pengelola Inventaris Barang</t>
  </si>
  <si>
    <t>Honorarium koordinator/ Operator</t>
  </si>
  <si>
    <t>Honorarium Tim Angka Kredit</t>
  </si>
  <si>
    <t>Honorarium PLT</t>
  </si>
  <si>
    <t>Honorarium Petugas Piket</t>
  </si>
  <si>
    <t>Honorarium Sidang Tim</t>
  </si>
  <si>
    <t>Honorarium Panitia Pemeriksa Hasil Pekerjaan</t>
  </si>
  <si>
    <t>Honorarium Kepanitiaan</t>
  </si>
  <si>
    <t>Honorarium Tenaga Ahli/Instruktur/Narasumber</t>
  </si>
  <si>
    <t>Honorarium Pegawai Honorer/Tidak Tetap</t>
  </si>
  <si>
    <t>Honorarium pengurus organisasi/kelembagaan</t>
  </si>
  <si>
    <t>Honorarium petugas piket</t>
  </si>
  <si>
    <t>Intensif Penjaga Bendung, Petugas PMK dan Petugas Lainya</t>
  </si>
  <si>
    <t>Honorarium Petugas Laboratorium</t>
  </si>
  <si>
    <t>Uang Lembur PNS</t>
  </si>
  <si>
    <t>Uang Lembur Non PNS</t>
  </si>
  <si>
    <t>Uang untuk diberikan kepada Pihak Ketiga/Masyarakat</t>
  </si>
  <si>
    <t>Uang untuk diberikan kepada Pihak Ketiga</t>
  </si>
  <si>
    <t>Uang untuk diberikan kepada Masyarakat</t>
  </si>
  <si>
    <t>Belanja Pegawai BLUD</t>
  </si>
  <si>
    <t>Belanja Pegawai BLUD Rumah Sakit</t>
  </si>
  <si>
    <t>Belanja Pegawai BLUD Puskesmas</t>
  </si>
  <si>
    <t>Belanja Operasional Sekolah Negeri</t>
  </si>
  <si>
    <t>Belanja Stimulan</t>
  </si>
  <si>
    <t>Belanja Operasional TK / PAUD</t>
  </si>
  <si>
    <t>Belanja Operasional SMP Negeri</t>
  </si>
  <si>
    <t>Belanja Operasional SMA/SMK Negeri</t>
  </si>
  <si>
    <t>Belanja Alat Tulis Kantor</t>
  </si>
  <si>
    <t>Belanja Alat Listrik Dan Elektronik (Lampu Pijar, Battery Kering)</t>
  </si>
  <si>
    <t>Belanja Perangko, Materai Dan Benda Pos Lainnya</t>
  </si>
  <si>
    <t>Belanja Peralatan Kebersihan Dan Bahan Pembersih</t>
  </si>
  <si>
    <t>Belanja Bahan Bakar Minyak/Gas</t>
  </si>
  <si>
    <t>Belanja Pengisian Tabung Pemadam Kebakaran</t>
  </si>
  <si>
    <t>Belanja Pengisian Tabung Gas</t>
  </si>
  <si>
    <t>Belanja Bahan dan Alat olah Raga</t>
  </si>
  <si>
    <t>Belanja Bahan dan Alat Keperluan Kantor</t>
  </si>
  <si>
    <t>Belanja Dekorasi Dokumentasi dan Publikasi (Iklan, Spanduk dan Lain-lain)</t>
  </si>
  <si>
    <t>Belanja Cetak</t>
  </si>
  <si>
    <t>Belanja Bahan Baku Bangunan</t>
  </si>
  <si>
    <t>Belanja Bahan/Bibit Tanaman</t>
  </si>
  <si>
    <t>Belanja Bibit Ternak</t>
  </si>
  <si>
    <t>Belanja Bahan Obat-Obatan</t>
  </si>
  <si>
    <t>Belanja Bahan Kimia</t>
  </si>
  <si>
    <t>Belanja Bahan dan Alat Perlengkapan Kegiatan</t>
  </si>
  <si>
    <t>Belanja Bahan Praktek</t>
  </si>
  <si>
    <t>Belanja Bahan Pengumuman dan Sejenisnya</t>
  </si>
  <si>
    <t>Belanja Bahan Percontohan/ Alat Peraga/ Sampel</t>
  </si>
  <si>
    <t>Belanja Bahan Sarana Belajar Mengajar</t>
  </si>
  <si>
    <t>Belanja Bahan Jaringan dan Instalasi</t>
  </si>
  <si>
    <t>Belanja Bahan dan Alat Rumah Tangga</t>
  </si>
  <si>
    <t>Belanja Bahan dan Alat Pertanian</t>
  </si>
  <si>
    <t>Belanja Pakan Ternak</t>
  </si>
  <si>
    <t>Belanja  Bahan Kenang-kenangan/Hadiah (Prasasti/Piagam/Piala/Plakat dll)</t>
  </si>
  <si>
    <t>Belanja Bahan dan Alat Kesehatan</t>
  </si>
  <si>
    <t>Belanja Telepon</t>
  </si>
  <si>
    <t>Belanja Air</t>
  </si>
  <si>
    <t>Belanja Listrik</t>
  </si>
  <si>
    <t>Belanja Surat Kabar/Majalah</t>
  </si>
  <si>
    <t>Belanja Kawat/Faksimili/Internet/Intranet/TV Kabel/TV Satelit</t>
  </si>
  <si>
    <t>Belanja Paket/Pengiriman</t>
  </si>
  <si>
    <t>Belanja Sertifikasi</t>
  </si>
  <si>
    <t>Belanja Jasa Tenaga ahli/ Instruktur/Narasumber</t>
  </si>
  <si>
    <t>Belanja Pajak Penerangan jalam Umum (PPJU)</t>
  </si>
  <si>
    <t>Belanja Air Time Radio Swasta</t>
  </si>
  <si>
    <t>Belanja Jasa Perawatan dan Pengobatan</t>
  </si>
  <si>
    <t>Belanja jasa General Chek Up</t>
  </si>
  <si>
    <t>Belanja Uang saku kegiatan/rapat</t>
  </si>
  <si>
    <t>Belanja Retribusi Kebersihan kota</t>
  </si>
  <si>
    <t>Belanja Jasa PHL/Penjaga malam/Petugas Kebersihan/Ketertiban</t>
  </si>
  <si>
    <t>Belanja Pajak Bumi dan Bangunan</t>
  </si>
  <si>
    <t>Belanja Upah Tenaga/Tukang/Pekerja/Operator/Petugas Pelaksana</t>
  </si>
  <si>
    <t>Belanja Jasa service dan Penggantian komponen</t>
  </si>
  <si>
    <t>Belanja Propaganda, Penerangan dan publikasi</t>
  </si>
  <si>
    <t>Belanja Perawatan alat Kesehatan dan Laboratorium</t>
  </si>
  <si>
    <t>Belanja Jasa Pelayanan umum</t>
  </si>
  <si>
    <t>Belanja Jasa Pelayanan Medis</t>
  </si>
  <si>
    <t>Belanja Jasa Biro Perjalanan</t>
  </si>
  <si>
    <t>Belanja Jasa/Pengadaan/Pemeliharaan/Penyesuaian Sistem Aplikasi</t>
  </si>
  <si>
    <t>Belanja Iuran kepesertaan</t>
  </si>
  <si>
    <t>Belanja Penetapan NIP CPNS</t>
  </si>
  <si>
    <t>Belanja stimulan pembangunan</t>
  </si>
  <si>
    <t>Belanja Jasa Pihak Ketiga</t>
  </si>
  <si>
    <t>Belanja Jasa Laboratorium Kesehatan Hewan</t>
  </si>
  <si>
    <t>Belanja Jasa administrasi Perijinan Penyiaran</t>
  </si>
  <si>
    <t>Belanja Jasa administrasi Perijinan</t>
  </si>
  <si>
    <t>Belanja Jasa Tenaga Wiyata Bhakti Tenaga Pendidik/Kependidikan</t>
  </si>
  <si>
    <t>Belanja Jasa Tenaga Kelembagaan Pemberdayaan Masyarakat</t>
  </si>
  <si>
    <t>Belanja Jasa Tenaga Kelembagaan Pemberdayaan Perempuan</t>
  </si>
  <si>
    <t>Belanja jasa hiburan/kesenian</t>
  </si>
  <si>
    <t>Belanja jasa pengelolaan LPPL</t>
  </si>
  <si>
    <t>Belanja Jasa Tenaga Kesejahteraan Sosial Kecamatan</t>
  </si>
  <si>
    <t>Belanja administrasi bank/transfer</t>
  </si>
  <si>
    <t>Belanja Penggandaan</t>
  </si>
  <si>
    <t>Belanja Penjilidan</t>
  </si>
  <si>
    <t>Belanja Premi Asuransi</t>
  </si>
  <si>
    <t>Belanja Premi Asuransi Kesehatan dan geberal check up</t>
  </si>
  <si>
    <t>Belanja Premi Asuransi Barang Milik Daerah</t>
  </si>
  <si>
    <t>Belanja Sewa Rumah/Gedung/Gudang/Parkir</t>
  </si>
  <si>
    <t>Belanja Sewa Gedung/Kantor/Tempat</t>
  </si>
  <si>
    <t>Belanja Sewa Ruang Rapat/Pertemuan</t>
  </si>
  <si>
    <t>Belanja sewa Penginapan dan Akomodasi</t>
  </si>
  <si>
    <t>Belanja Sewa Tanah</t>
  </si>
  <si>
    <t>Belanja Sewa panggung/Stan</t>
  </si>
  <si>
    <t>Belanja Sewa Sarana Mobilitas Darat</t>
  </si>
  <si>
    <t>Belanja Sewa Sarana Mobilitas Air</t>
  </si>
  <si>
    <t>Belanja Sewa Alat Berat</t>
  </si>
  <si>
    <t>Belanja Sewa Eskavator</t>
  </si>
  <si>
    <t>Sewa alat-alat berat</t>
  </si>
  <si>
    <t>Belanja Sewa Meja Kursi</t>
  </si>
  <si>
    <t>Belanja Sewa Komputer dan Printer</t>
  </si>
  <si>
    <t>Belanja Sewa Proyektor</t>
  </si>
  <si>
    <t>Belanja Sewa Generator</t>
  </si>
  <si>
    <t>Belanja Sewa Tenda</t>
  </si>
  <si>
    <t>Belanja Sewa Pakaian Adat/Tradisional</t>
  </si>
  <si>
    <t>Belanja sewa alat Elektronik</t>
  </si>
  <si>
    <t>Belanja Sewa Alat Rumah tangga</t>
  </si>
  <si>
    <t>Belanja Sewa Atat-alat Tradisional</t>
  </si>
  <si>
    <t>Belanja Sewa alat-alat Sarana perlengkapan olahraga</t>
  </si>
  <si>
    <t>Belanja Sewa Peralatan Praktek</t>
  </si>
  <si>
    <t>Belanja Makanan dan  Minuman</t>
  </si>
  <si>
    <t>Belanja Makanan Dan Minuman Harian Pegawai</t>
  </si>
  <si>
    <t>Belanja Makanan Dan Minuman Rapat</t>
  </si>
  <si>
    <t>Belanja Makanan Dan Minuman Tamu</t>
  </si>
  <si>
    <t>Belanja Extra Fooding</t>
  </si>
  <si>
    <t>Belanja Makan dan Minum Jamuan Peserta/Panitia</t>
  </si>
  <si>
    <t>Belanja makanan dan Minuman Lembur</t>
  </si>
  <si>
    <t>Belanja Pakaian Sipil Harian (PSH)</t>
  </si>
  <si>
    <t>Belanja Pakaian Sipil Lengkap (PSL)</t>
  </si>
  <si>
    <t>Belanja Pakaian Dinas Harian (PDH)</t>
  </si>
  <si>
    <t>Belanja Pakaian Dinas Upacara (PDU)</t>
  </si>
  <si>
    <t>Belanja Pakaian Sipil Resmi (PSR)</t>
  </si>
  <si>
    <t>Belanja Pakaian Dinas Lapangan</t>
  </si>
  <si>
    <t>Belanja Pakaian Kerja</t>
  </si>
  <si>
    <t>Belanja Pakaian Kerja Lapangan</t>
  </si>
  <si>
    <t>Belanja Pakaian khusus dan hari-hari tertentu</t>
  </si>
  <si>
    <t>Belanja Pakaian Adat Daerah</t>
  </si>
  <si>
    <t>Belanja Pakaian Batik Tradisional</t>
  </si>
  <si>
    <t>Belanja Pakaian Olahraga</t>
  </si>
  <si>
    <t>Belanja Pakaian Paskibra</t>
  </si>
  <si>
    <t>Belanja Pakaian Seragam Organisasi</t>
  </si>
  <si>
    <t>Belanja Kelengkapan Pakaian (Rompi dll)</t>
  </si>
  <si>
    <t>Belanja Pakaian Seragam Tim</t>
  </si>
  <si>
    <t>Belanja Beasiswa Pendidikan PNS</t>
  </si>
  <si>
    <t>Belanja Beasiswa Tugas Belajar S2</t>
  </si>
  <si>
    <t>Belanja kursus, pelatihan, sosialisasi dan bimbingan teknis PNS</t>
  </si>
  <si>
    <t>Belanja Kursus-Kursus Singkat/Pelatihan</t>
  </si>
  <si>
    <t>Belanja Seminar, lokakarya</t>
  </si>
  <si>
    <t>Belanja Jasa Konsultansi</t>
  </si>
  <si>
    <t>Belanja Jasa Konsultansi Perencanaan</t>
  </si>
  <si>
    <t>Belanja Barang Dana BOS</t>
  </si>
  <si>
    <t>Belanja Barang Dana Bantuan Operasional PAUD</t>
  </si>
  <si>
    <t>Belanja Barang dan Jasa BLUD Rumah Sakit</t>
  </si>
  <si>
    <t>Belanja Barang dan Jasa BLUD Puskesmas</t>
  </si>
  <si>
    <t>Belanja Jasa Service</t>
  </si>
  <si>
    <t>Belanja Penggantian Suku Cadang</t>
  </si>
  <si>
    <t>Belanja Bahan Bakar Minyak/Gas Dan Pelumas</t>
  </si>
  <si>
    <t>Belanja Jasa KIR</t>
  </si>
  <si>
    <t>Belanja Surat Tanda Nomor Kendaraan</t>
  </si>
  <si>
    <t>Belanja Administrasi Kendaraan</t>
  </si>
  <si>
    <t>Belanja Pemeliharan Bangunan Gedung</t>
  </si>
  <si>
    <t>Belanja Pemeliharan Bangunan Lainnya</t>
  </si>
  <si>
    <t>Belanja Pemeliharan Peralatan</t>
  </si>
  <si>
    <t>Belanja Pemeliharan Kendaraan dinas/Operasional</t>
  </si>
  <si>
    <t>Belanja Perjalanan Dinas Dalam Daerah</t>
  </si>
  <si>
    <t>Belanja Perjalanan Dinas Luar Daerah</t>
  </si>
  <si>
    <t>Belanja Perjalanan Pindah Tugas</t>
  </si>
  <si>
    <t>Belanja Perjalanan Pindah Tugas Dalam Daerah</t>
  </si>
  <si>
    <t>Belanja Perjalanan Pindah Tugas Luar Daerah</t>
  </si>
  <si>
    <t>Belanja Hibah Kepada Pemerintahan Desa</t>
  </si>
  <si>
    <t>Belanja Hibah kepada Badan/Lembaga/Organisasi</t>
  </si>
  <si>
    <t>Belanja Hibah kepada Badan/Lembaga/Organisasi Pendidikan Formal/Non Formal Swasta</t>
  </si>
  <si>
    <t>Belanja Hibah kepada Kelompok/Anggota Masyarakat</t>
  </si>
  <si>
    <t>Pengurus Sarana Peribadatan/Kegiatan Keagamaan</t>
  </si>
  <si>
    <t>Cost Sharing Program Pemberdayaan Masyarakat</t>
  </si>
  <si>
    <t>Cost Sharing Program Pamsimas III</t>
  </si>
  <si>
    <t>Belanja Hibah Dana BOP</t>
  </si>
  <si>
    <t>BOP PAUD Masyarakat/Swasta</t>
  </si>
  <si>
    <t>Belanja Hibah Barang atau Jasa kepada Masyarakat/Pihak Ketiga</t>
  </si>
  <si>
    <t>Belanja Barang  atau Jasa Yang Akan Diserahkan Kepada Masyarakat</t>
  </si>
  <si>
    <t>Belanja Barang atau Jasa Yang Akan Diserahkan Kepada Pihak Ketiga</t>
  </si>
  <si>
    <t>Belanja Barang atau Jasa Yang Akan Diserahkan Kepada Masyarakat / Pihak Ketiga</t>
  </si>
  <si>
    <t>Belanja Bantuan Sosial kepada Organisasi Sosial Kemasyarakatan</t>
  </si>
  <si>
    <t>Belanja Bantuan Sosial Organisasi Kemasyarakatan Panti Asuhan/Panti Rehabilitasi</t>
  </si>
  <si>
    <t>Belanja Bantuan Sosial Orsos PACA</t>
  </si>
  <si>
    <t>Belanja Bantuan Sosial Barang kepada Pihak Ketiga / Masyarakat</t>
  </si>
  <si>
    <t>Belanja bantuan sosial barang yang akan diserahkan kepada pihak ketiga/masyarakat</t>
  </si>
  <si>
    <t>Beban Penyusutan dan amortisasi</t>
  </si>
  <si>
    <t>Beban penyusutan peralatan dan mesin</t>
  </si>
  <si>
    <t>Beban penyusutan gedung dan bangunan</t>
  </si>
  <si>
    <t>Beban penyusutan jalan, irigasi dan jaringan</t>
  </si>
  <si>
    <t>Beban Amortisasi Aset Lainnya</t>
  </si>
  <si>
    <t>Belanja Bagi Hasil Pajak Daerah Kepada Pemerintahan Desa</t>
  </si>
  <si>
    <t>Belanja Bagi Hasil Retribusi Daerah Kepada Pemerintah Desa</t>
  </si>
  <si>
    <t>Belanja Bagi Hasil Retribusi Daerah Kepada Pemerintahan Desa</t>
  </si>
  <si>
    <t>Belanja Bantuan Keuangan kepada Desa</t>
  </si>
  <si>
    <t>Belanja Alokasi Dana Desa</t>
  </si>
  <si>
    <t>Belanja Bantuan Keuangan kepada Pemerintah Desa dan Desa Adat yang Bersumber dari APBN</t>
  </si>
  <si>
    <t>Belanja Bantuan Keuangan untuk Pembayaran Kompensasi Perangkat Desa</t>
  </si>
  <si>
    <t>Pendamping PLPBK</t>
  </si>
  <si>
    <t>Belanja Bantuan Kepada Partai Politik</t>
  </si>
  <si>
    <t>Belanja Bantuan Kepada Partai Politik Partai Demokrasi Indonesia Perjuangan</t>
  </si>
  <si>
    <t>Belanja Bantuan Kepada Partai Politik Partai Kebangkitan Bangsa</t>
  </si>
  <si>
    <t>Belanja Bantuan Kepada Partai Politik Partai HANURA</t>
  </si>
  <si>
    <t>Belanja Bantuan Kepada Partai Politik Partai Persatuan Pembangunan</t>
  </si>
  <si>
    <t>Belanja Bantuan Kepada Partai Politik Partai NASDEM</t>
  </si>
  <si>
    <t>Belanja Bantuan Kepada Partai Politik Partai GOLKAR</t>
  </si>
  <si>
    <t>Belanja Bantuan Kepada Partai Politik Partai Demokrat</t>
  </si>
  <si>
    <t>Belanja Bantuan Kepada Partai Politik Partai GERINDRA</t>
  </si>
  <si>
    <t>Belanja Bantuan Kepada Partai Politik Partai Amanat Nasional</t>
  </si>
  <si>
    <t>Belanja Bantuan Kepada Partai Politik PKS</t>
  </si>
  <si>
    <t>Beban penyisihan piutang</t>
  </si>
  <si>
    <t>Transfer Pemerintah Pusat Lainnya</t>
  </si>
  <si>
    <t>Dana Otonomi Khusus</t>
  </si>
  <si>
    <t>Dana Penyesuaian</t>
  </si>
  <si>
    <t>Trasfer pemerintah Pusat - Dana Perimbangan</t>
  </si>
  <si>
    <t>JUMLAH PAD</t>
  </si>
  <si>
    <t>JUMLAH LAIN-LAIN PENDAPATAN YANG SAH</t>
  </si>
  <si>
    <t>Uraian  Beban Pegawai</t>
  </si>
  <si>
    <t>Jumlah Beban Pegawai</t>
  </si>
  <si>
    <t>Uraian  Beban Persediaan</t>
  </si>
  <si>
    <t xml:space="preserve">Jumlah Beban Persediaan  </t>
  </si>
  <si>
    <t xml:space="preserve">Beban Barang danJasa terdiri dari beban barang dan jasa berupa konsumsi atas barang dan/atau jasa dalam rangka penyelenggaraan kegiatan entitas serta beban lain-lain berupa beban yang timbul karena penggunaan alokasi belanja modal yang tidak menghasilkan aset tetap.   </t>
  </si>
  <si>
    <t>Uraian  Beban Jasa</t>
  </si>
  <si>
    <t xml:space="preserve">Jumlah Beban Jasa </t>
  </si>
  <si>
    <t xml:space="preserve">Belanja Pemeliharaan </t>
  </si>
  <si>
    <t>Jumlah Beban Pemeliharaan</t>
  </si>
  <si>
    <t>Jumlah Beban Perjalanan Dinas</t>
  </si>
  <si>
    <t xml:space="preserve">Beban Hibah </t>
  </si>
  <si>
    <t>g.</t>
  </si>
  <si>
    <t>h.</t>
  </si>
  <si>
    <t xml:space="preserve">Beban Hibah/Barang untuk Diserahkan kepada Masyarakat merupakan beban pemerintah dalam bentuk barang atau jasa kepada masyarakat yang bertujuan untuk mencapai tujuan entitas. </t>
  </si>
  <si>
    <t>Jumlah Beban Hibah</t>
  </si>
  <si>
    <t>Jumlah Beban Bantuan Sosial</t>
  </si>
  <si>
    <t xml:space="preserve">Beban Penyusutan merupakan beban untuk mencatat alokasi sistematis atas nilai suatu aset tetap yang dapat disusutkan (depreciable assets) selama masa manfaat aset yang bersangkutan. </t>
  </si>
  <si>
    <t xml:space="preserve">Jumlah Beban Penyusutan </t>
  </si>
  <si>
    <t>Jumlah Beban Transfer</t>
  </si>
  <si>
    <t>Beban Lain-lain.</t>
  </si>
  <si>
    <t>PEMERINTAH KABUPATEN WONOSOBO</t>
  </si>
  <si>
    <t xml:space="preserve">LAPORAN PERUBAHAN EKUITAS </t>
  </si>
  <si>
    <t>SURPLUS/ DEFISIT - LO</t>
  </si>
  <si>
    <t>RK-PPKD</t>
  </si>
  <si>
    <t>DAMPAK KUMULATIF PERUBAHAN KEBIJAKAN/ KESALAHAN MENDASAR :</t>
  </si>
  <si>
    <t xml:space="preserve">       Kapitalisasi aset tetap</t>
  </si>
  <si>
    <t xml:space="preserve">       Serah terima skpd</t>
  </si>
  <si>
    <t>+\-%</t>
  </si>
  <si>
    <t xml:space="preserve"> Gaji dan Tunjangan Pegawai</t>
  </si>
  <si>
    <t xml:space="preserve"> Honor Non PNS</t>
  </si>
  <si>
    <t xml:space="preserve"> Belanja Gedung dan Bangunan</t>
  </si>
  <si>
    <t xml:space="preserve"> Belanja Aset Tetap Lainnya</t>
  </si>
  <si>
    <t>sebagaimana terlampir adalah tanggung jawab kami.</t>
  </si>
  <si>
    <t xml:space="preserve">URAIAN </t>
  </si>
  <si>
    <t xml:space="preserve">Laporan Realisasi Anggaran </t>
  </si>
  <si>
    <t>Template ini dibuat untuk memudahkan penyusunan laporan keuangan tingkat OPD.</t>
  </si>
  <si>
    <t xml:space="preserve">       Lain-lain</t>
  </si>
  <si>
    <r>
      <t xml:space="preserve">Sheet warna </t>
    </r>
    <r>
      <rPr>
        <i/>
        <sz val="16"/>
        <color indexed="10"/>
        <rFont val="Cambria"/>
        <family val="1"/>
      </rPr>
      <t>merah</t>
    </r>
    <r>
      <rPr>
        <i/>
        <sz val="16"/>
        <color indexed="8"/>
        <rFont val="Cambria"/>
        <family val="1"/>
      </rPr>
      <t xml:space="preserve"> berisi data induk, bagian yang diisi adalah yang sel dengan huruf warna </t>
    </r>
    <r>
      <rPr>
        <i/>
        <sz val="16"/>
        <color indexed="10"/>
        <rFont val="Cambria"/>
        <family val="1"/>
      </rPr>
      <t>merah.</t>
    </r>
  </si>
  <si>
    <r>
      <t xml:space="preserve">Sheet warna </t>
    </r>
    <r>
      <rPr>
        <i/>
        <sz val="16"/>
        <color indexed="36"/>
        <rFont val="Cambria"/>
        <family val="1"/>
      </rPr>
      <t xml:space="preserve">Ungu </t>
    </r>
    <r>
      <rPr>
        <i/>
        <sz val="16"/>
        <color indexed="8"/>
        <rFont val="Cambria"/>
        <family val="1"/>
      </rPr>
      <t xml:space="preserve">merupakan laporan induk  yang dilampirkan pada laporan semesteran dan tahunan. Sel berwarna </t>
    </r>
    <r>
      <rPr>
        <i/>
        <sz val="16"/>
        <color indexed="10"/>
        <rFont val="Cambria"/>
        <family val="1"/>
      </rPr>
      <t>merah</t>
    </r>
    <r>
      <rPr>
        <i/>
        <sz val="16"/>
        <color indexed="8"/>
        <rFont val="Cambria"/>
        <family val="1"/>
      </rPr>
      <t xml:space="preserve"> agar disesuaikan dengan kondisi masing-masing OPD.</t>
    </r>
  </si>
  <si>
    <t>Bank</t>
  </si>
  <si>
    <t>Bank…</t>
  </si>
  <si>
    <t>5.</t>
  </si>
  <si>
    <t>Bab. IV   Penjelasan Atas Informasi Non Keuangan</t>
  </si>
  <si>
    <t>Bab. V    Penutup</t>
  </si>
  <si>
    <t>Rp.</t>
  </si>
  <si>
    <t>6.</t>
  </si>
  <si>
    <t>2. Investasi Jangka Pendek</t>
  </si>
  <si>
    <t>5. Penyisihan Piutang Tak Tertagih</t>
  </si>
  <si>
    <t>b.    Persediaan Bahan/Material</t>
  </si>
  <si>
    <t>Rincian Aset Tetap</t>
  </si>
  <si>
    <t>Bagi Hasil dari Pajak Penghasilan (PPH) Pasal 25 dan Pasa;l 29 Wajib Pajak Orang Pribadi Dalam Negeri</t>
  </si>
  <si>
    <t>PENUTUP</t>
  </si>
  <si>
    <t xml:space="preserve">         </t>
  </si>
  <si>
    <t>Salam Sukses !!! Bidang Akuntansi, Evaluasi dan Pelaporan</t>
  </si>
  <si>
    <t>URAIAN ANGGARAN</t>
  </si>
  <si>
    <t>Angg. Perubahan</t>
  </si>
  <si>
    <t>Angg. Penetapan</t>
  </si>
  <si>
    <t>Undang-undang Nomor 28 Tahun 2009, tentang Pajak Daerah  dan Retribusi Daerah;</t>
  </si>
  <si>
    <t>Peraturan Pemerintah Nomor 71 Tahun 2010 tentang Standar Akuntansi Pemerintahan;</t>
  </si>
  <si>
    <t>Peraturan Pemerintah Nomor 58 tahun 2005 tentang Pengelolaan Keuangan Daerah;</t>
  </si>
  <si>
    <t>Peraturan Bupati Wonosobo Nomor  19  Tahun 2014 tentang Sistem Akuntansi Pemerintah Kab. Wonosobo ;</t>
  </si>
  <si>
    <t>Peraturan Bupati Wonosobo Nomor 17 Tahun 2016 tentang Sistem dan Prosedur Pengelolaan Keuangan Daerah.</t>
  </si>
  <si>
    <t>Anggaran Perubahan</t>
  </si>
  <si>
    <t>Surplus /Defisit</t>
  </si>
  <si>
    <t>Transfer Pemerintah Pusat ( Dana Perimbangan)</t>
  </si>
  <si>
    <t>Lain-lain PAD yang sah</t>
  </si>
  <si>
    <t xml:space="preserve">Jumlah </t>
  </si>
  <si>
    <t>+/_</t>
  </si>
  <si>
    <t>%</t>
  </si>
  <si>
    <t>a.    Persediaan Bahan Pakai Habis</t>
  </si>
  <si>
    <t>+/_ Rp.</t>
  </si>
  <si>
    <t>Alat  Angkutan Darat Tak Bermotor</t>
  </si>
  <si>
    <t>Naik /Turun</t>
  </si>
  <si>
    <t>Beban Gaji dan Tunjangan</t>
  </si>
  <si>
    <t>Beban Tambahan Penghasilan PNS</t>
  </si>
  <si>
    <t>Beban Penerimaan lainnya Pimpinan dan anggota DPRD serta KDH/WKDH</t>
  </si>
  <si>
    <t>Beban Pegawai BLUD</t>
  </si>
  <si>
    <t>Beban Pegawai BLUD Rumah Sakit</t>
  </si>
  <si>
    <t>Beban Pegawai BLUD Puskesmas</t>
  </si>
  <si>
    <t>Beban Operasional Sekolah Negeri</t>
  </si>
  <si>
    <t>Beban Stimulan</t>
  </si>
  <si>
    <t>Beban Operasional TK / PAUD</t>
  </si>
  <si>
    <t>Beban Operasional SMP Negeri</t>
  </si>
  <si>
    <t>Beban Operasional SMA/SMK Negeri</t>
  </si>
  <si>
    <t>Beban Alat Tulis Kantor</t>
  </si>
  <si>
    <t>Beban Alat Listrik Dan Elektronik (Lampu Pijar, Battery Kering)</t>
  </si>
  <si>
    <t>Beban Perangko, Materai Dan Benda Pos Lainnya</t>
  </si>
  <si>
    <t>Beban Peralatan Kebersihan Dan Bahan Pembersih</t>
  </si>
  <si>
    <t>Beban Bahan Bakar Minyak/Gas</t>
  </si>
  <si>
    <t>Beban Bahan Pakai Habis</t>
  </si>
  <si>
    <t>Beban Pengisian Tabung Pemadam Kebakaran</t>
  </si>
  <si>
    <t>Beban Pengisian Tabung Gas</t>
  </si>
  <si>
    <t>Beban Bahan dan Alat olah Raga</t>
  </si>
  <si>
    <t>Beban Bahan dan Alat Keperluan Kantor</t>
  </si>
  <si>
    <t>Beban Dekorasi Dokumentasi dan Publikasi (Iklan, Spanduk dan Lain-lain)</t>
  </si>
  <si>
    <t>Beban Cetak</t>
  </si>
  <si>
    <t>Beban Bahan/Material</t>
  </si>
  <si>
    <t>Beban Bahan Baku Bangunan</t>
  </si>
  <si>
    <t>Beban Bahan/Bibit Tanaman</t>
  </si>
  <si>
    <t>Beban Bibit Ternak</t>
  </si>
  <si>
    <t>Beban Bahan Obat-Obatan</t>
  </si>
  <si>
    <t>Beban Bahan Kimia</t>
  </si>
  <si>
    <t>Beban Bahan dan Alat Perlengkapan Kegiatan</t>
  </si>
  <si>
    <t>Beban Bahan Praktek</t>
  </si>
  <si>
    <t>Beban Bahan Pengumuman dan Sejenisnya</t>
  </si>
  <si>
    <t>Beban Bahan Percontohan/ Alat Peraga/ Sampel</t>
  </si>
  <si>
    <t>Beban Bahan Sarana Belajar Mengajar</t>
  </si>
  <si>
    <t>Beban Bahan Jaringan dan Instalasi</t>
  </si>
  <si>
    <t>Beban Bahan dan Alat Rumah Tangga</t>
  </si>
  <si>
    <t>Beban Bahan dan Alat Pertanian</t>
  </si>
  <si>
    <t>Beban Pakan Ternak</t>
  </si>
  <si>
    <t>Beban  Bahan Kenang-kenangan/Hadiah (Prasasti/Piagam/Piala/Plakat dll)</t>
  </si>
  <si>
    <t>Beban Bahan dan Alat Kesehatan</t>
  </si>
  <si>
    <t>Beban Jasa Kantor</t>
  </si>
  <si>
    <t>Beban Telepon</t>
  </si>
  <si>
    <t>Beban Air</t>
  </si>
  <si>
    <t>Beban Listrik</t>
  </si>
  <si>
    <t>Beban Surat Kabar/Majalah</t>
  </si>
  <si>
    <t>Beban Kawat/Faksimili/Internet/Intranet/TV Kabel/TV Satelit</t>
  </si>
  <si>
    <t>Beban Paket/Pengiriman</t>
  </si>
  <si>
    <t>Beban Sertifikasi</t>
  </si>
  <si>
    <t>Beban Jasa Tenaga ahli/ Instruktur/Narasumber</t>
  </si>
  <si>
    <t>Beban Pajak Penerangan jalam Umum (PPJU)</t>
  </si>
  <si>
    <t>Beban Air Time Radio Swasta</t>
  </si>
  <si>
    <t>Beban Jasa Perawatan dan Pengobatan</t>
  </si>
  <si>
    <t>Beban jasa General Chek Up</t>
  </si>
  <si>
    <t>Beban Uang saku kegiatan/rapat</t>
  </si>
  <si>
    <t>Beban Retribusi Kebersihan kota</t>
  </si>
  <si>
    <t>Beban Jasa PHL/Penjaga malam/Petugas Kebersihan/Ketertiban</t>
  </si>
  <si>
    <t>Beban Pajak Bumi dan Bangunan</t>
  </si>
  <si>
    <t>Beban Upah Tenaga/Tukang/Pekerja/Operator/Petugas Pelaksana</t>
  </si>
  <si>
    <t>Beban Jasa service dan Penggantian komponen</t>
  </si>
  <si>
    <t>Beban Propaganda, Penerangan dan publikasi</t>
  </si>
  <si>
    <t>Beban Perawatan alat Kesehatan dan Laboratorium</t>
  </si>
  <si>
    <t>Beban Jasa Pelayanan umum</t>
  </si>
  <si>
    <t>Beban Jasa Pelayanan Medis</t>
  </si>
  <si>
    <t>Beban Jasa Biro Perjalanan</t>
  </si>
  <si>
    <t>Beban Jasa/Pengadaan/Pemeliharaan/Penyesuaian Sistem Aplikasi</t>
  </si>
  <si>
    <t>Beban Iuran kepesertaan</t>
  </si>
  <si>
    <t>Beban Penetapan NIP CPNS</t>
  </si>
  <si>
    <t>Beban stimulan pembangunan</t>
  </si>
  <si>
    <t>Beban Jasa Pihak Ketiga</t>
  </si>
  <si>
    <t>Beban Jasa Laboratorium Kesehatan Hewan</t>
  </si>
  <si>
    <t>Beban Jasa administrasi Perijinan Penyiaran</t>
  </si>
  <si>
    <t>Beban Jasa administrasi Perijinan</t>
  </si>
  <si>
    <t>Beban Jasa Tenaga Wiyata Bhakti Tenaga Pendidik/Kependidikan</t>
  </si>
  <si>
    <t>Beban Jasa Tenaga Kelembagaan Pemberdayaan Masyarakat</t>
  </si>
  <si>
    <t>Beban Jasa Tenaga Kelembagaan Pemberdayaan Perempuan</t>
  </si>
  <si>
    <t>Beban jasa hiburan/kesenian</t>
  </si>
  <si>
    <t>Beban jasa pengelolaan LPPL</t>
  </si>
  <si>
    <t>Beban Jasa Tenaga Kesejahteraan Sosial Kecamatan</t>
  </si>
  <si>
    <t>Beban administrasi bank/transfer</t>
  </si>
  <si>
    <t>Beban Penggandaan</t>
  </si>
  <si>
    <t>Beban Penjilidan</t>
  </si>
  <si>
    <t>Beban Premi Asuransi</t>
  </si>
  <si>
    <t>Beban Premi Asuransi Kesehatan dan geberal check up</t>
  </si>
  <si>
    <t>Beban Premi Asuransi Barang Milik Daerah</t>
  </si>
  <si>
    <t>Beban Sewa Rumah/Gedung/Gudang/Parkir</t>
  </si>
  <si>
    <t>Beban Sewa Gedung/Kantor/Tempat</t>
  </si>
  <si>
    <t>Beban Sewa Ruang Rapat/Pertemuan</t>
  </si>
  <si>
    <t>Beban sewa Penginapan dan Akomodasi</t>
  </si>
  <si>
    <t>Beban Sewa Tanah</t>
  </si>
  <si>
    <t>Beban Sewa panggung/Stan</t>
  </si>
  <si>
    <t>Beban Sewa Sarana Mobilitas</t>
  </si>
  <si>
    <t>Beban Sewa Sarana Mobilitas Darat</t>
  </si>
  <si>
    <t>Beban Sewa Sarana Mobilitas Air</t>
  </si>
  <si>
    <t>Beban Sewa Alat Berat</t>
  </si>
  <si>
    <t>Beban Sewa Eskavator</t>
  </si>
  <si>
    <t>Beban Sewa Perlengkapan dan Peralatan Kantor</t>
  </si>
  <si>
    <t>Beban Sewa Meja Kursi</t>
  </si>
  <si>
    <t>Beban Sewa Komputer dan Printer</t>
  </si>
  <si>
    <t>Beban Sewa Proyektor</t>
  </si>
  <si>
    <t>Beban Sewa Generator</t>
  </si>
  <si>
    <t>Beban Sewa Tenda</t>
  </si>
  <si>
    <t>Beban Sewa Pakaian Adat/Tradisional</t>
  </si>
  <si>
    <t>Beban sewa alat Elektronik</t>
  </si>
  <si>
    <t>Beban Sewa Alat Rumah tangga</t>
  </si>
  <si>
    <t>Beban Sewa Atat-alat Tradisional</t>
  </si>
  <si>
    <t>Beban Sewa alat-alat Sarana perlengkapan olahraga</t>
  </si>
  <si>
    <t>Beban Sewa Peralatan Praktek</t>
  </si>
  <si>
    <t>Beban Makanan dan  Minuman</t>
  </si>
  <si>
    <t>Beban Makanan Dan Minuman Harian Pegawai</t>
  </si>
  <si>
    <t>Beban Makanan Dan Minuman Rapat</t>
  </si>
  <si>
    <t>Beban Makanan Dan Minuman Tamu</t>
  </si>
  <si>
    <t>Beban Extra Fooding</t>
  </si>
  <si>
    <t>Beban Makan dan Minum Jamuan Peserta/Panitia</t>
  </si>
  <si>
    <t>Beban makanan dan Minuman Lembur</t>
  </si>
  <si>
    <t>Beban Pakaian Dinas dan Atributnya</t>
  </si>
  <si>
    <t>Beban Pakaian Sipil Harian (PSH)</t>
  </si>
  <si>
    <t>Beban Pakaian Sipil Lengkap (PSL)</t>
  </si>
  <si>
    <t>Beban Pakaian Dinas Harian (PDH)</t>
  </si>
  <si>
    <t>Beban Pakaian Dinas Upacara (PDU)</t>
  </si>
  <si>
    <t>Beban Pakaian Sipil Resmi (PSR)</t>
  </si>
  <si>
    <t>Beban Pakaian Dinas Lapangan</t>
  </si>
  <si>
    <t>Beban Pakaian Kerja</t>
  </si>
  <si>
    <t>Beban Pakaian Kerja Lapangan</t>
  </si>
  <si>
    <t>Beban Pakaian khusus dan hari-hari tertentu</t>
  </si>
  <si>
    <t>Beban Pakaian Adat Daerah</t>
  </si>
  <si>
    <t>Beban Pakaian Batik Tradisional</t>
  </si>
  <si>
    <t>Beban Pakaian Olahraga</t>
  </si>
  <si>
    <t>Beban Pakaian Paskibra</t>
  </si>
  <si>
    <t>Beban Pakaian Seragam Organisasi</t>
  </si>
  <si>
    <t>Beban Kelengkapan Pakaian (Rompi dll)</t>
  </si>
  <si>
    <t>Beban Pakaian Seragam Tim</t>
  </si>
  <si>
    <t>Beban Beasiswa Pendidikan PNS</t>
  </si>
  <si>
    <t>Beban Beasiswa Tugas Belajar S2</t>
  </si>
  <si>
    <t>Beban kursus, pelatihan, sosialisasi dan bimbingan teknis PNS</t>
  </si>
  <si>
    <t>Beban Kursus-Kursus Singkat/Pelatihan</t>
  </si>
  <si>
    <t>Beban Seminar, lokakarya</t>
  </si>
  <si>
    <t>Beban Jasa Konsultansi</t>
  </si>
  <si>
    <t>Beban Jasa Konsultansi Perencanaan</t>
  </si>
  <si>
    <t>Beban Barang Dana BOS</t>
  </si>
  <si>
    <t>Beban Barang Dana Bantuan Operasional PAUD</t>
  </si>
  <si>
    <t>Beban Barang dan Jasa BLUD</t>
  </si>
  <si>
    <t>Beban Barang dan Jasa BLUD Rumah Sakit</t>
  </si>
  <si>
    <t>Beban Barang dan Jasa BLUD Puskesmas</t>
  </si>
  <si>
    <t>Kewajiban Jangka Pendek</t>
  </si>
  <si>
    <t>Kewajiban Jangka Panjang</t>
  </si>
  <si>
    <t>BELANJA OPERASI</t>
  </si>
  <si>
    <t>BELANJA TAK TERDUGA</t>
  </si>
  <si>
    <t>SURPLUS/DEFISIT</t>
  </si>
  <si>
    <t>transfer Pemerintah Pusat Lainnya</t>
  </si>
  <si>
    <t>BAB. I</t>
  </si>
  <si>
    <t>BAB.II</t>
  </si>
  <si>
    <t>BAB.III</t>
  </si>
  <si>
    <t>Pendahuluan</t>
  </si>
  <si>
    <t>Penutup</t>
  </si>
  <si>
    <t>Penjelasan Pos-pos Laporan Keuangan</t>
  </si>
  <si>
    <t/>
  </si>
  <si>
    <t>7.</t>
  </si>
  <si>
    <t>8.</t>
  </si>
  <si>
    <t>9.</t>
  </si>
  <si>
    <t>10.</t>
  </si>
  <si>
    <t>11.</t>
  </si>
  <si>
    <t>12.</t>
  </si>
  <si>
    <t>13.</t>
  </si>
  <si>
    <t>14.</t>
  </si>
  <si>
    <t>15.</t>
  </si>
  <si>
    <t>16.</t>
  </si>
  <si>
    <t>17.</t>
  </si>
  <si>
    <t>DAMPAK KUMULATIF PERUBAHAN KEBIJAKAN/KESALAHAN MENDASAR:</t>
  </si>
  <si>
    <t>BAB IV</t>
  </si>
  <si>
    <t>BAB.IV</t>
  </si>
  <si>
    <t>PENJELASAN POS-POS LAPORAN KEUANGAN</t>
  </si>
  <si>
    <t>Pendapatan-LO</t>
  </si>
  <si>
    <t>Sisa Lebih Pembiayaan Anggaran (SILPA)</t>
  </si>
  <si>
    <t>Belanja Aset Tetap Lainnya</t>
  </si>
  <si>
    <t>Belanja Aset Lainnya</t>
  </si>
  <si>
    <t>BAB III</t>
  </si>
  <si>
    <t>3.3.1</t>
  </si>
  <si>
    <t>Yth. Bapak Ibu Petugas Penyusun LK OPD/BLUD di Tempat,</t>
  </si>
  <si>
    <t>Anggaran 2017</t>
  </si>
  <si>
    <t>% Realisasi Anggaran</t>
  </si>
  <si>
    <t>Pengadaan alat Kedokteran</t>
  </si>
  <si>
    <t>Bangunan Rambu-rambu</t>
  </si>
  <si>
    <t>- Pengadaan buku</t>
  </si>
  <si>
    <t>- Pengadaan Tanaman</t>
  </si>
  <si>
    <t>- Pengadaan AT Renovasi</t>
  </si>
  <si>
    <t>Piutang Pajak</t>
  </si>
  <si>
    <t>1.2.1.07.</t>
  </si>
  <si>
    <t>1.3.2.25.</t>
  </si>
  <si>
    <t>Unit Alat Laboratorium Kimia Nuklir</t>
  </si>
  <si>
    <t>1.3.2.26.</t>
  </si>
  <si>
    <t>Alat Laboratorium Fisila Nuklir / Elektronila</t>
  </si>
  <si>
    <t>1.3.2.27.</t>
  </si>
  <si>
    <t>Alat Proteksi Radiasi / Proteksi Lingkungan</t>
  </si>
  <si>
    <t>1.3.2.28.</t>
  </si>
  <si>
    <t>Radiation Aplication and Non Destructive Testing Laboratory (BATAM)</t>
  </si>
  <si>
    <t>1.3.7.04.</t>
  </si>
  <si>
    <t>cek EKUITAS =  ASET-KEWAJIBAN</t>
  </si>
  <si>
    <t>cek ASET-KEWAJIBAN-EKUITAS = 0</t>
  </si>
  <si>
    <t>SURPLUS/(DEFISIT)</t>
  </si>
  <si>
    <t xml:space="preserve">Undang-undang Nomor 23 Tahun 2014  tentang Pemerintahan Daerah  sebagaimana telah diubah terakhir dengan Undang-undang Nomor 9 Tahun 2015 tentang Perubahan Kedua Atas Undang-undang Nomor 23 Tahun 2014 tentang Pemerintahan Daerah; </t>
  </si>
  <si>
    <t>Peraturan Pemerintah Nomor 27 Tahun 2014 tentang Pengelolaan Barang Milik Negara/Daerah;</t>
  </si>
  <si>
    <t>Peraturan Menteri Dalam Negeri Nomor 21 Tahun 2011 tentang   Perubahan Kedua Atas Peraturan Menteri Dalam Negeri Nomor 13 tahun 2006 tentang Pedoman Pengelolaan Keuangan Daerah;</t>
  </si>
  <si>
    <t>Peraturan Menteri Dalam Negeri Nomor 19 Tahun 2016 tentang Pedoman Pengelolaan Barang Milik Daerah;</t>
  </si>
  <si>
    <t>Peraturan Pemerintah Nomor 55 tahun 2005 tentang Dana Perimbangan;</t>
  </si>
  <si>
    <t>Peraturan Menteri Dalam Negeri Nomor 5 Tahun 1997 tentang Tuntutan Perbendaharaan dan Tuntutan Ganti Rugi Keuangan dan Barang Daerah;</t>
  </si>
  <si>
    <t>Peraturan Badan Pemeriksa Keuangan RI Nomor 3 Tahun 2007 tentang Tata Cara Penyelesaian Ganti Keugian Negara;</t>
  </si>
  <si>
    <t>Peraturan Pemerintah Nomor 38 Tahun 2016 tentang Tata Cara Tuntutan Ganti Kerugian Negara/Daerah Terhadap Pegawai Negeri Bukan Bendahara atau Pejabat Lain;</t>
  </si>
  <si>
    <t>Peraturan Daerah Kabupaten Wonosobo Nomor 13 Tahun 2016 tentang Anggaran Pendapatan dan Belanja Daerah Tahun Anggaran 2017 ;</t>
  </si>
  <si>
    <t xml:space="preserve">Ikhtisar realisasi pencapaian target kinerja keuangan </t>
  </si>
  <si>
    <t>Hambatan dan Kendala yang ada dalam pencapaian target yang telah ditetapkan</t>
  </si>
  <si>
    <t>2.2. </t>
  </si>
  <si>
    <t>Anggaran Penetapan</t>
  </si>
  <si>
    <t>Naik/ (Turun)</t>
  </si>
  <si>
    <t xml:space="preserve"> Pendapatan Asli daerah</t>
  </si>
  <si>
    <t xml:space="preserve"> Pendapatan Transfer</t>
  </si>
  <si>
    <t xml:space="preserve"> Lain-Lain Pendaptn. Yang Sah</t>
  </si>
  <si>
    <t xml:space="preserve"> Belanja Operasi</t>
  </si>
  <si>
    <t xml:space="preserve"> Belanja Modal</t>
  </si>
  <si>
    <t xml:space="preserve"> Belanja Tak Terduga</t>
  </si>
  <si>
    <t xml:space="preserve"> Belanja Transfer</t>
  </si>
  <si>
    <t>Anggaran Setelah Perubahan</t>
  </si>
  <si>
    <t>Realisasi TA 2017</t>
  </si>
  <si>
    <t>Lebih/(Kurang) dari Anggaran</t>
  </si>
  <si>
    <t>Pembiayaan</t>
  </si>
  <si>
    <t>Pengeluaran Pembiayaan</t>
  </si>
  <si>
    <t>Pembiayaan Netto</t>
  </si>
  <si>
    <t>SILPA</t>
  </si>
  <si>
    <t>Pendapatan dan Belanja</t>
  </si>
  <si>
    <t>Surplus/(Defisit)</t>
  </si>
  <si>
    <t>Penerimaan Pembiayaan</t>
  </si>
  <si>
    <t>Dari Tabel tersebut diatas dapat dilihat bahwa :</t>
  </si>
  <si>
    <t>PEMBIAYAAN</t>
  </si>
  <si>
    <t>- Penerimaan Pinjaman</t>
  </si>
  <si>
    <t>- Penerimaan dari divestasi</t>
  </si>
  <si>
    <t xml:space="preserve"> Jumlah Penerimaan Pembiayaan</t>
  </si>
  <si>
    <t xml:space="preserve">Pengeluaran Pembiayaan </t>
  </si>
  <si>
    <t>- Pengaluaran penyertaan modal</t>
  </si>
  <si>
    <t>- Pemberian pinjaman kepada pihak lain</t>
  </si>
  <si>
    <t>- Pembayaran pokok pinjaman</t>
  </si>
  <si>
    <t>- Penerimaan kembali pinjama dari pihak lain</t>
  </si>
  <si>
    <t xml:space="preserve"> Jumlah Pengeluaran Pembiayaan</t>
  </si>
  <si>
    <t xml:space="preserve"> 1.</t>
  </si>
  <si>
    <t>- Penggunaan SILPA</t>
  </si>
  <si>
    <t>Hambatan dalam pencapaian terget Pendapatan</t>
  </si>
  <si>
    <t>Hambatan dalam pencapaian terget Belanja</t>
  </si>
  <si>
    <t>Sarana dan Prasana Puskesmas</t>
  </si>
  <si>
    <t>Sumber Daya Manusia Puskesmas</t>
  </si>
  <si>
    <t>Laporan Realisaasi Anggaran (LRA)</t>
  </si>
  <si>
    <t>Lebih/(Kurang) dr anggaran</t>
  </si>
  <si>
    <t>Jml  Realisasi    +/-    dari Thn Lalu Rp.</t>
  </si>
  <si>
    <t>%   +/-    Real dari Th Lalu</t>
  </si>
  <si>
    <t>Pendapatan-LRA</t>
  </si>
  <si>
    <t>2.1.3. Hambatan Dan Kendala Yang Dihadapi.</t>
  </si>
  <si>
    <t>Naik/(Turun)</t>
  </si>
  <si>
    <t>Transfer Pemerintah Profinsi</t>
  </si>
  <si>
    <t>- Pendapatan BLUD</t>
  </si>
  <si>
    <t>Jasa Layanan</t>
  </si>
  <si>
    <t>Hibah</t>
  </si>
  <si>
    <t>Hasil Kerja Sama</t>
  </si>
  <si>
    <t>Transfer Pemerintah Pusat-Lainnya</t>
  </si>
  <si>
    <t>TRANSFER</t>
  </si>
  <si>
    <t>1.    Belanja Pegawai</t>
  </si>
  <si>
    <t>Pengadaan Alat Bantu</t>
  </si>
  <si>
    <t>Pengadaan Alat Studio</t>
  </si>
  <si>
    <t>Pengadaan Alat komunikasi</t>
  </si>
  <si>
    <t>Pengadaan alat Kesehatan</t>
  </si>
  <si>
    <t>(f)</t>
  </si>
  <si>
    <t>Tidak terdapat anggaran belanja modal tanah.</t>
  </si>
  <si>
    <t>Belanja Modal Tanah Bangunan Bukan Gedung</t>
  </si>
  <si>
    <t>Belanja Modal Tanah Bangunan Gedung</t>
  </si>
  <si>
    <t>Belanja Modal Pengadaan Alat Bantu.</t>
  </si>
  <si>
    <t>Belanja Modal Pengadaan Alat Angkutan.</t>
  </si>
  <si>
    <t>Belanja Modal Pengadaan Alat Kantor.</t>
  </si>
  <si>
    <t>Belanja Modal Pengadaan Alat Rumah Tangga.</t>
  </si>
  <si>
    <t>Belanja Modal Pengadaan Komputer</t>
  </si>
  <si>
    <t>Belanja Modal Pengadaan Alat Studio</t>
  </si>
  <si>
    <t>Belanja Modal Pengadaan Alat Komunikasi</t>
  </si>
  <si>
    <t>Belanja Modal Pengadaan Alat Kedokteran</t>
  </si>
  <si>
    <t>Belanja Modal Pengadaan Alat Kesehatan</t>
  </si>
  <si>
    <t>Rincian belaja modal pengadaan alat kesehatan sebagaimana tabel dibawah ini :</t>
  </si>
  <si>
    <t>Rincian belaja modal pengadaan alat kedokteran sebagaimana tabel dibawah ini :</t>
  </si>
  <si>
    <t>Rincian belaja modal pengadaan komputer sebagaimana tabel dibawah ini :</t>
  </si>
  <si>
    <t>Jalan, Irigasi &amp; Jaringan</t>
  </si>
  <si>
    <t>3.2.</t>
  </si>
  <si>
    <t>Naik/(turun)</t>
  </si>
  <si>
    <t>3.3.</t>
  </si>
  <si>
    <t>3.4.</t>
  </si>
  <si>
    <t>Aset</t>
  </si>
  <si>
    <t>Kewajiban</t>
  </si>
  <si>
    <t>Jumlah Kewajiban &amp; Ekuitas</t>
  </si>
  <si>
    <t>Tunai</t>
  </si>
  <si>
    <t>3. Piutang Pendapatan</t>
  </si>
  <si>
    <t>Piutang Lain-lain PAD Yang Sah</t>
  </si>
  <si>
    <t>2</t>
  </si>
  <si>
    <t>1</t>
  </si>
  <si>
    <t>Piutang BLUD adalah piutang yang dicatat, diakui dan dikuasi oleh BLUD, yang bersumber dari Jasa Layanan, Hibah, Hasil Kerjasama maupun Lain-Lain Pendapatan BLUD Yang Sah, penjelasan mutasi sebagai berikut :</t>
  </si>
  <si>
    <t>Rincian Penyisihan Piutang Tak Tertagih</t>
  </si>
  <si>
    <t>Penyisihan Piutang Tak Tertagih adalah merupakan estimasi atas ketidaktertagihan piutang lancar yang ditentukan oleh kualitas piutang masing-masing debitur. Perhitungan penyisihan piutang tidak tertagih berdasarkan Peraturan Bupati Wonosobo Nomor 30 Tahun 2016 tentang Kebijakan Akuntansi Pemerintah Kabupaten Wonosobo. Rincian Penyisihan Piutang Tak Tertagih pada tanggal pelaporan adalah sebagai berikut:</t>
  </si>
  <si>
    <t>Piutang Bukan Pajak :</t>
  </si>
  <si>
    <t>Bagian Lancar TP/TGR :</t>
  </si>
  <si>
    <t>Bagian Lancar TPA :</t>
  </si>
  <si>
    <t>Rp</t>
  </si>
  <si>
    <t>Rincian Beban Di Bayar di Muka</t>
  </si>
  <si>
    <t>Beban dibayar di muka merupakan hak yang masih harus diterima setelah tanggal neraca sebagai akibat dari pengadaan barang/jasa yang telah dibayarkan secara penuh namun barang atau jasa tersebut belum diterima seluruhnya. Rincian Beban Dibayar di Muka adalah sebagai berikut:</t>
  </si>
  <si>
    <t>7. Persediaan</t>
  </si>
  <si>
    <t>c.    Persediaan Barang Lainnya</t>
  </si>
  <si>
    <t>Adapun penjelasan mutasi penambahan dan pengurangan aset tetap sebagai berikut :</t>
  </si>
  <si>
    <t>1. Penambahan Aset</t>
  </si>
  <si>
    <t>2. Pengurangan Aset</t>
  </si>
  <si>
    <t>a. Penambahan Aset</t>
  </si>
  <si>
    <t>b. Pengurangan Aset</t>
  </si>
  <si>
    <t>18,</t>
  </si>
  <si>
    <t>19.</t>
  </si>
  <si>
    <t>20.</t>
  </si>
  <si>
    <t>Akumulasi Penyusutan Aset Tetap merupakan alokasi sistematis atas nilai suatu aset tetap yang disusutkan selama masa manfaat aset yang bersangkutan selain untuk Tanah dan Konstruksi dalam Pengerjaan (KDP).</t>
  </si>
  <si>
    <t>D.</t>
  </si>
  <si>
    <t>E</t>
  </si>
  <si>
    <t xml:space="preserve">   A.  ASET LANCAR</t>
  </si>
  <si>
    <t xml:space="preserve">   B.  INVESTASI JANGKA PANJANG</t>
  </si>
  <si>
    <t xml:space="preserve">   C.  ASET TETAP DAN AKUMULASI PENYUSUTAN</t>
  </si>
  <si>
    <t>Aset Lainnya</t>
  </si>
  <si>
    <t>Penjelasan terinci Aset Lainnya sebagai berikut :</t>
  </si>
  <si>
    <t>Nihil</t>
  </si>
  <si>
    <t xml:space="preserve">   a. Tagihan Jangka Panjang             : Nihil</t>
  </si>
  <si>
    <t xml:space="preserve">   b. Kemitraan Dengan Pihak ketiga  : Nihil</t>
  </si>
  <si>
    <t xml:space="preserve">   c. Aset Tidak Berwujud    </t>
  </si>
  <si>
    <t xml:space="preserve">  d. Aset Lain-Lain </t>
  </si>
  <si>
    <t>1. Utang Pada Pihak Ketiga</t>
  </si>
  <si>
    <t>2. Utang Bunga</t>
  </si>
  <si>
    <t>3. Bagian Lancar Utang Jangka Panjang</t>
  </si>
  <si>
    <t>4. Pendapatan Diterima di Muka</t>
  </si>
  <si>
    <t>5. Utang Belanja</t>
  </si>
  <si>
    <t>6. Utang Jangka Pendek lainnya</t>
  </si>
  <si>
    <t xml:space="preserve">  A.  Kewajiban Jangka Pendek</t>
  </si>
  <si>
    <t xml:space="preserve">  B.  Kewajiban Jangka Panjang : Nihil</t>
  </si>
  <si>
    <t>CEK</t>
  </si>
  <si>
    <t>SELISIH</t>
  </si>
  <si>
    <t>Saldo Utang PPN dan PPh tersebut berasal dari  pungutan belanja yang masih ada dibendahara pengeluaran.</t>
  </si>
  <si>
    <r>
      <t>Bunga</t>
    </r>
    <r>
      <rPr>
        <sz val="11"/>
        <color indexed="63"/>
        <rFont val="Bookman Old Style"/>
        <family val="1"/>
      </rPr>
      <t> adalah imbal jasa atas pinjaman uang. Imbal jasa </t>
    </r>
    <r>
      <rPr>
        <i/>
        <sz val="11"/>
        <color indexed="63"/>
        <rFont val="Bookman Old Style"/>
        <family val="1"/>
      </rPr>
      <t>cipal</t>
    </r>
    <r>
      <rPr>
        <sz val="11"/>
        <color indexed="63"/>
        <rFont val="Bookman Old Style"/>
        <family val="1"/>
      </rPr>
      <t>. Persentase dari pokok utang yang dibayarkan sebagai imbal jasa ( bunga ) dalam suatu periode tertentu disebut "</t>
    </r>
    <r>
      <rPr>
        <b/>
        <sz val="11"/>
        <color indexed="63"/>
        <rFont val="Bookman Old Style"/>
        <family val="1"/>
      </rPr>
      <t>suku bunga</t>
    </r>
    <r>
      <rPr>
        <sz val="11"/>
        <color indexed="63"/>
        <rFont val="Bookman Old Style"/>
        <family val="1"/>
      </rPr>
      <t>"</t>
    </r>
  </si>
  <si>
    <t>Pendapatan Diterima di Muka merupakan pendapatan yang sudah diterima pembayarannya, namun barang/jasa belum diserahkan,  dengan rincian sebagai berikut :</t>
  </si>
  <si>
    <t>1. Pendapatan Asli Daerah (PAD)</t>
  </si>
  <si>
    <t>2. Pendapatan Transfer</t>
  </si>
  <si>
    <t>3. Lain-lain Pendapatan  yg Sah</t>
  </si>
  <si>
    <t>1. Pajak Daerah</t>
  </si>
  <si>
    <t>2. Retribusi Daerah</t>
  </si>
  <si>
    <t>3. Lain-lain PAD yg Sah</t>
  </si>
  <si>
    <t>3. Hasil Pengelolaan Kekayaan Daerah Yg dipisahkan</t>
  </si>
  <si>
    <t>Transfer Pemerintah Pusat -Dana Perimbangan</t>
  </si>
  <si>
    <t>Transfer Pemerintah Pusat - Lainnya</t>
  </si>
  <si>
    <t>aa.</t>
  </si>
  <si>
    <t>Pendapatan Lain-lain Yang Sah</t>
  </si>
  <si>
    <t>JUMLAH PENDAPATAN TRANSFER</t>
  </si>
  <si>
    <t>LAIN-LAIN PENDAPATAN YG SAH</t>
  </si>
  <si>
    <t xml:space="preserve">Beban Transfer merupakan beban berupa pengeluaran uang/kewajiban untuk mengeluarkan uang dari entitas pelaporan kepada suatu entitas pelaporan lain yang diwajibkan oleh peraturan perundang-undangan dalam suatu periode. </t>
  </si>
  <si>
    <t>SURPLUS/DEFISIT-LO  DARI OPERASI</t>
  </si>
  <si>
    <t>Penyisihan Piutang tidak tertagih</t>
  </si>
  <si>
    <t>Uraian Beban Lain-lain</t>
  </si>
  <si>
    <t>Beban Lain-Lain diantaranya untuk menampung penyisihan piutang tidak tertagih, yaitu merupakan cadangan yang harus dibentuk berdasarkan prosentase tertentu sesuai kebijakan yang berlaku bertujuan untuk menyajikan piutang dalam neraca secara nilai bersih yang dapat direalisasikan (Net Realizable value), sebagaimana tabel berikut :</t>
  </si>
  <si>
    <t>3.4.3. Kegiatan Non Opeasional</t>
  </si>
  <si>
    <t>3.4.4. Pos Luar Biasa</t>
  </si>
  <si>
    <t xml:space="preserve"> 1.   Pendapatan Luar biasa</t>
  </si>
  <si>
    <t xml:space="preserve"> 2.   Beban Luar biasa</t>
  </si>
  <si>
    <t xml:space="preserve">a. Koreksi yang menambah ekuitas awal </t>
  </si>
  <si>
    <t>b. Koreksi yang mengurangi ekuitas awal</t>
  </si>
  <si>
    <t>(a)</t>
  </si>
  <si>
    <t>(b)</t>
  </si>
  <si>
    <t>Belanja Gedung dan Bangunan</t>
  </si>
  <si>
    <t>(c)</t>
  </si>
  <si>
    <t>(d)</t>
  </si>
  <si>
    <t>(e)</t>
  </si>
  <si>
    <t>2018</t>
  </si>
  <si>
    <t>Tahun YAD</t>
  </si>
  <si>
    <t xml:space="preserve">Tgl laporan di TTD </t>
  </si>
  <si>
    <t>Pendapatan Lain-Lian PAD yang Sah</t>
  </si>
  <si>
    <t>ISIAN DATA SKPD</t>
  </si>
  <si>
    <r>
      <t>Belanja adalah semua pengeluaran dari rekening kas umum daerah yang mengurangi saldo anggaran  lebih dalam periode tahun anggaran bersangkutan yang tidak akan diperoleh pembayarannya kembali oleh pemerintah. Belanja Daerah meliputi Belanja Operasi, Belanja Modal, Belanja Tak Terduga dan Transfer.</t>
    </r>
    <r>
      <rPr>
        <sz val="11"/>
        <color indexed="12"/>
        <rFont val="Bookman Old Style"/>
        <family val="1"/>
      </rPr>
      <t xml:space="preserve"> </t>
    </r>
    <r>
      <rPr>
        <sz val="11"/>
        <color indexed="8"/>
        <rFont val="Bookman Old Style"/>
        <family val="1"/>
      </rPr>
      <t xml:space="preserve"> </t>
    </r>
  </si>
  <si>
    <r>
      <t xml:space="preserve">               </t>
    </r>
    <r>
      <rPr>
        <sz val="12"/>
        <color indexed="8"/>
        <rFont val="Bookman Old Style"/>
        <family val="1"/>
      </rPr>
      <t>Wonosobo,              Januari  2017</t>
    </r>
  </si>
  <si>
    <t>Sebagaimana diamanatkan Undang-Undang Nomor 17 Tahun 2003 tentang Keuangan Negara bahwa Kepala Satuan Kerja Perangkat Daerah selaku Pajabat Pengguna Anggaran/Barang Daerah mempunyai tugas antara lain menyusun dan menyampaikan laporan keuangan SKPD yang dipimpinnya.</t>
  </si>
  <si>
    <r>
      <t xml:space="preserve">Di samping itu, laporan keuangan ini juga dimaksudkan untuk memberikan informasi kepada manajemen dalam pengambilan keputusan dalam usaha untuk mewujudkan tata kelola pemerintahan yang baik </t>
    </r>
    <r>
      <rPr>
        <i/>
        <sz val="12"/>
        <rFont val="Bookman Old Style"/>
        <family val="1"/>
      </rPr>
      <t>(good governance)</t>
    </r>
    <r>
      <rPr>
        <sz val="12"/>
        <rFont val="Bookman Old Style"/>
        <family val="1"/>
      </rPr>
      <t xml:space="preserve">. </t>
    </r>
  </si>
  <si>
    <t>Lampiran-Lampiran</t>
  </si>
  <si>
    <t>Iktisar Pencapaian Kinerja Keuangan</t>
  </si>
  <si>
    <t>BAB V</t>
  </si>
  <si>
    <t>PENJELASAN ATAS INFORMASI NON KEUANGAN</t>
  </si>
  <si>
    <t>Penjelasan Atas Informasi Non Keuangan</t>
  </si>
  <si>
    <t>BAB. V</t>
  </si>
  <si>
    <t>(a) Laporan Realisasi Anggaran  (LRA)</t>
  </si>
  <si>
    <t xml:space="preserve">          Laporan Keuangan tersebut telah disusun berdasarkan sistem pengendalian intern yang memadai, dan isinya telah menyajikan informasi pelaksanaan anggaran, posisi keuangan dan catatan atas laporan keuangan secara layak sesuai dengan Standar Akuntansi Pemerintahan.</t>
  </si>
  <si>
    <t xml:space="preserve">Laporan Operasional menyajikan berbagai unsur pendapatan-LO, beban, surplus/defisit operasional, surplus/defisit dari kegiatan non operasional, surplus/defisit sebelum pos luar biasa, pos luar biasa, dan  surplus/defisit-LO, yang diperlukan untuk penyajian yang wajar. </t>
  </si>
  <si>
    <t>Amortisasi Aset Lainnya</t>
  </si>
  <si>
    <t>Belanja Cetak / Penggandaan</t>
  </si>
  <si>
    <t>SURPLUS/DEFISIT-LO  DARI KEGIATAN NON OPERASIONAL</t>
  </si>
  <si>
    <t>SURPLUS/DEFISIT-LO</t>
  </si>
  <si>
    <t>Surplus Penjualan Aset Non Lancar</t>
  </si>
  <si>
    <t>Surplus Penyelesaian Kewajiban Jangka Panjang</t>
  </si>
  <si>
    <t>Defisit Penjualan Aset Non Lancar</t>
  </si>
  <si>
    <t>Defisit Penyelesaian Kewajiban Jangka Panjang</t>
  </si>
  <si>
    <t xml:space="preserve">SURPLUS/DEFISIT DARI KEGIATAN NON OPERASIONAL  </t>
  </si>
  <si>
    <t>Pendapatan Luar Biasa</t>
  </si>
  <si>
    <t>Beban Luar Biasa</t>
  </si>
  <si>
    <t xml:space="preserve">SURPLUS/DEFISIT-LO  </t>
  </si>
  <si>
    <t>Peraturan Daerah Kabupaten Wonosobo Nomor 14  Tahun 2017 tentang Perubahan Anggaran Pendapatan dan Belanja Daerah Tahun Anggaran 2017 ;</t>
  </si>
  <si>
    <t>3.1.2.  Belanja LRA</t>
  </si>
  <si>
    <t xml:space="preserve">Realisasi </t>
  </si>
  <si>
    <t>Beban Cetak / Penggandaan</t>
  </si>
  <si>
    <t>31 Desember 2017</t>
  </si>
  <si>
    <t>31 Desember 2016</t>
  </si>
  <si>
    <t>2.      Neraca</t>
  </si>
  <si>
    <t>3.      Laporan Operasional</t>
  </si>
  <si>
    <t>4.      Laporan Perubahan Ekuitas</t>
  </si>
  <si>
    <t>5.      Catatan Atas Laporan Keuangan</t>
  </si>
  <si>
    <t>3.2. Neraca</t>
  </si>
  <si>
    <t>3.2.1.  Aset</t>
  </si>
  <si>
    <t>3.2.2.  Kewajiban</t>
  </si>
  <si>
    <t>3.2.3.  Ekuitas</t>
  </si>
  <si>
    <t>3.3. Laporan Operasional</t>
  </si>
  <si>
    <t>3.3.1.  Pendapatan LO</t>
  </si>
  <si>
    <t>3.3.2.  Beban LO</t>
  </si>
  <si>
    <t xml:space="preserve">3.3.3.  Surplus / Defisit </t>
  </si>
  <si>
    <t>3.4. Laporan Perubahan ekuitas</t>
  </si>
  <si>
    <t>3.4.1. Perubahan ekuitas</t>
  </si>
  <si>
    <t>% dari Angg</t>
  </si>
  <si>
    <t>-/+ Angg</t>
  </si>
  <si>
    <t>-/+ 2016</t>
  </si>
  <si>
    <t>2017-2016</t>
  </si>
  <si>
    <t>% 2017-2016</t>
  </si>
  <si>
    <t>3.2.1</t>
  </si>
  <si>
    <t>3.2.2</t>
  </si>
  <si>
    <t>3.2.3</t>
  </si>
  <si>
    <t>3.3.2. Beban.</t>
  </si>
  <si>
    <t>3.3.4. Surplus/Defisit LO</t>
  </si>
  <si>
    <t>3.4.1.  Ekuitas Awal</t>
  </si>
  <si>
    <t>3.4.3. Dampak Kumulatif Perubahan Kebijakan/Kesalahan Mendasar</t>
  </si>
  <si>
    <t>6.    Beban Di Bayar Di Muka</t>
  </si>
  <si>
    <t xml:space="preserve"> REALISASI SKPD 2017 DAN  2016</t>
  </si>
  <si>
    <t>Hasil Penjualan Aset Yang Tidak Dipisahkan</t>
  </si>
  <si>
    <t xml:space="preserve"> Insentif Pemungutan Pajak</t>
  </si>
  <si>
    <t>Insentif Pemungutan Retribusi</t>
  </si>
  <si>
    <t>REKAP BELANJA MODAL (OTOMATIS TERISI)</t>
  </si>
  <si>
    <t xml:space="preserve">% </t>
  </si>
  <si>
    <t>% dari Ang</t>
  </si>
  <si>
    <t>Pajak Hiburan</t>
  </si>
  <si>
    <t>Pajak Mineral Bukan Logam dan Batuan</t>
  </si>
  <si>
    <t>Pajak Bumi dan Bangunan Pedesaaan dan Perkotaan</t>
  </si>
  <si>
    <t xml:space="preserve">Bea Perolehan Hak Atas Tanah dan Bangunan </t>
  </si>
  <si>
    <t>Bagian Laba Penyertaan Modal pada BUMD</t>
  </si>
  <si>
    <t>Bagian Laba Penyertaan Modal pada Swasta</t>
  </si>
  <si>
    <t>Lain-lain PAD Yang Sah</t>
  </si>
  <si>
    <t>Hasil Penjualan Aset Daerah Yang Dipisahkan</t>
  </si>
  <si>
    <t>Pendapatan Bunga</t>
  </si>
  <si>
    <t>Lain-lain PAD Yang Sah Lainnya</t>
  </si>
  <si>
    <t xml:space="preserve"> - Mebelair</t>
  </si>
  <si>
    <t xml:space="preserve"> - Alat Pendingan</t>
  </si>
  <si>
    <t xml:space="preserve"> - Alat Dapur</t>
  </si>
  <si>
    <t xml:space="preserve"> - Alat RT Lainnya</t>
  </si>
  <si>
    <t xml:space="preserve"> - Personal Komputer</t>
  </si>
  <si>
    <t xml:space="preserve"> - Mini Komputer</t>
  </si>
  <si>
    <t xml:space="preserve"> - Peralatan Personal Komputer</t>
  </si>
  <si>
    <t>- Bangunan gedung kantor</t>
  </si>
  <si>
    <t xml:space="preserve">- Bangunan gudang </t>
  </si>
  <si>
    <t>- Bangunan kesehatan</t>
  </si>
  <si>
    <t>- Bangunan Gedung Tempat Kerja Lainnya</t>
  </si>
  <si>
    <t>15 Februari 2018</t>
  </si>
  <si>
    <t xml:space="preserve">(b) Neraca </t>
  </si>
  <si>
    <t xml:space="preserve">(c) Laporan Operasional (LO) </t>
  </si>
  <si>
    <t>(d) Laporan Perubahan Ekuitas (LPE)</t>
  </si>
  <si>
    <t>(e) Catatan atas Laporan Keuangan (CaLK)</t>
  </si>
  <si>
    <t>Salah satu pelaksanaannya adalah dengan menyusun laporan keuangan berupa Laporan Realisasi Anggaran, Neraca, Laporan Operasi,  Laporan Perubahan Ekuitas dan Catatan atas Laporan Keuangan.</t>
  </si>
  <si>
    <t>Belaja modal pengadaan alat bantu dirinci sebagaimana tabel dibawah ini :</t>
  </si>
  <si>
    <t>Alat Bantu</t>
  </si>
  <si>
    <t>Alat Angkutan</t>
  </si>
  <si>
    <t>Belaja modal pengadaan alat kantor dirinci sebagaimana tabel dibawah ini :</t>
  </si>
  <si>
    <t>Belaja modal pengadaan alat angkutan dirinci sebagaimana tabel dibawah ini :</t>
  </si>
  <si>
    <t>Belaja modal pengadaan alat rumah tangga dirinci sebagaimana tabel dibawah ini :</t>
  </si>
  <si>
    <t>Rincian belaja modal pengadaan alat studio sebagaimana tabel dibawah ini :</t>
  </si>
  <si>
    <t>Alat Komunikasi</t>
  </si>
  <si>
    <t>Rincian belaja modal pengadaan alat komunikasi sebagaimana tabel dibawah ini :</t>
  </si>
  <si>
    <t xml:space="preserve">Belanja Barang </t>
  </si>
  <si>
    <t>Belanja Hibah</t>
  </si>
  <si>
    <t>Belanja Sosial</t>
  </si>
  <si>
    <t>Belanja Bantuan Sosial</t>
  </si>
  <si>
    <t>Kecamatan Kaliwiro</t>
  </si>
  <si>
    <t>Jl. Wonosobo-Prembun Km 24 Kaliwiro</t>
  </si>
  <si>
    <t>Hemi widiyanto, S.Sos,MM</t>
  </si>
  <si>
    <t>196010221986071001</t>
  </si>
  <si>
    <t>Plt Camat Kaliwiro</t>
  </si>
  <si>
    <t>1.3.4.21.</t>
  </si>
  <si>
    <t>Jarinagn Air Minum</t>
  </si>
  <si>
    <t>1.3.4.20.</t>
  </si>
  <si>
    <t>Jarinagn Listrik</t>
  </si>
  <si>
    <t>Pembengkakan Anggaran</t>
  </si>
  <si>
    <t>Harga Material Naik</t>
  </si>
  <si>
    <t xml:space="preserve">       Koreksi Persediaan</t>
  </si>
  <si>
    <t xml:space="preserve">       Mutasi AA 9930 NF dari BPPKAD</t>
  </si>
  <si>
    <t xml:space="preserve">       Mutasi AA 112 F dari BPPKAD</t>
  </si>
  <si>
    <t xml:space="preserve">       Mutasi AA 53 F dari BAPPEDA</t>
  </si>
  <si>
    <t xml:space="preserve">       Akm Peny AA 53 F </t>
  </si>
  <si>
    <t xml:space="preserve">       Mutasi AA 112 F/AA9502UF ke DPU PR</t>
  </si>
  <si>
    <t xml:space="preserve">       Akm Peny AA 112 F/AA9502UF </t>
  </si>
  <si>
    <t xml:space="preserve">       Mutasi ke DPU PR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</si>
</sst>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_(* #,##0_);_(* \(#,##0\);_(* &quot;-&quot;??_);_(@_)"/>
    <numFmt numFmtId="171" formatCode="_(* #,##0.00_);_(* \(#,##0.00\);_(* &quot;-&quot;_);_(@_)"/>
    <numFmt numFmtId="172" formatCode="#,##0.00;[Red]#,##0.00"/>
    <numFmt numFmtId="173" formatCode="_(&quot;Rp&quot;* #,##0.00_);_(&quot;Rp&quot;* \(#,##0.00\);_(&quot;Rp&quot;* &quot;-&quot;_);_(@_)"/>
    <numFmt numFmtId="174" formatCode="_(* #,##0.0_);_(* \(#,##0.0\);_(* &quot;-&quot;_);_(@_)"/>
    <numFmt numFmtId="175" formatCode="_(* #,##0.000_);_(* \(#,##0.000\);_(* &quot;-&quot;_);_(@_)"/>
    <numFmt numFmtId="176" formatCode="_(* #,##0.0000_);_(* \(#,##0.0000\);_(* &quot;-&quot;_);_(@_)"/>
    <numFmt numFmtId="177" formatCode="0_);\(0\)"/>
    <numFmt numFmtId="178" formatCode="[$-409]dddd\,\ mmmm\ dd\,\ yyyy"/>
    <numFmt numFmtId="179" formatCode="#,##0;[Red]#,##0"/>
    <numFmt numFmtId="180" formatCode="_(* #,##0.0_);_(* \(#,##0.0\);_(* &quot;-&quot;??_);_(@_)"/>
    <numFmt numFmtId="181" formatCode="[$-409]h:mm:ss\ AM/PM"/>
  </numFmts>
  <fonts count="28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man Old Style"/>
      <family val="1"/>
    </font>
    <font>
      <b/>
      <sz val="11"/>
      <color indexed="8"/>
      <name val="Bookman Old Style"/>
      <family val="1"/>
    </font>
    <font>
      <sz val="8"/>
      <name val="Bookman Old Style"/>
      <family val="1"/>
    </font>
    <font>
      <sz val="9"/>
      <name val="Bookman Old Style"/>
      <family val="1"/>
    </font>
    <font>
      <b/>
      <sz val="10"/>
      <name val="Bookman Old Style"/>
      <family val="1"/>
    </font>
    <font>
      <sz val="10"/>
      <name val="Bookman Old Style"/>
      <family val="1"/>
    </font>
    <font>
      <sz val="11"/>
      <name val="Bookman Old Style"/>
      <family val="1"/>
    </font>
    <font>
      <b/>
      <sz val="11"/>
      <name val="Bookman Old Style"/>
      <family val="1"/>
    </font>
    <font>
      <i/>
      <sz val="11"/>
      <name val="Bookman Old Style"/>
      <family val="1"/>
    </font>
    <font>
      <b/>
      <sz val="9"/>
      <name val="Bookman Old Style"/>
      <family val="1"/>
    </font>
    <font>
      <b/>
      <i/>
      <sz val="9"/>
      <name val="Bookman Old Style"/>
      <family val="1"/>
    </font>
    <font>
      <i/>
      <sz val="9"/>
      <name val="Bookman Old Style"/>
      <family val="1"/>
    </font>
    <font>
      <sz val="10"/>
      <color indexed="8"/>
      <name val="MS Sans Serif"/>
      <family val="2"/>
    </font>
    <font>
      <b/>
      <sz val="8"/>
      <name val="Bookman Old Style"/>
      <family val="1"/>
    </font>
    <font>
      <sz val="10"/>
      <name val="Book Antiqua"/>
      <family val="1"/>
    </font>
    <font>
      <i/>
      <sz val="10"/>
      <name val="Book Antiqua"/>
      <family val="1"/>
    </font>
    <font>
      <i/>
      <sz val="11"/>
      <name val="Book Antiqua"/>
      <family val="1"/>
    </font>
    <font>
      <b/>
      <sz val="11"/>
      <name val="Book Antiqua"/>
      <family val="1"/>
    </font>
    <font>
      <b/>
      <i/>
      <sz val="11"/>
      <name val="Book Antiqua"/>
      <family val="1"/>
    </font>
    <font>
      <b/>
      <i/>
      <sz val="11"/>
      <name val="Bookman Old Style"/>
      <family val="1"/>
    </font>
    <font>
      <b/>
      <sz val="10"/>
      <name val="Book Antiqua"/>
      <family val="1"/>
    </font>
    <font>
      <i/>
      <sz val="16"/>
      <color indexed="8"/>
      <name val="Cambria"/>
      <family val="1"/>
    </font>
    <font>
      <i/>
      <sz val="16"/>
      <color indexed="10"/>
      <name val="Cambria"/>
      <family val="1"/>
    </font>
    <font>
      <i/>
      <sz val="16"/>
      <color indexed="36"/>
      <name val="Cambria"/>
      <family val="1"/>
    </font>
    <font>
      <i/>
      <sz val="8"/>
      <name val="Bookman Old Style"/>
      <family val="1"/>
    </font>
    <font>
      <b/>
      <i/>
      <sz val="8"/>
      <name val="Bookman Old Style"/>
      <family val="1"/>
    </font>
    <font>
      <b/>
      <sz val="9"/>
      <name val="Book Antiqua"/>
      <family val="1"/>
    </font>
    <font>
      <sz val="9"/>
      <name val="Book Antiqua"/>
      <family val="1"/>
    </font>
    <font>
      <sz val="6"/>
      <name val="Bookman Old Style"/>
      <family val="1"/>
    </font>
    <font>
      <b/>
      <sz val="6"/>
      <name val="Bookman Old Style"/>
      <family val="1"/>
    </font>
    <font>
      <i/>
      <sz val="10"/>
      <name val="Bookman Old Style"/>
      <family val="1"/>
    </font>
    <font>
      <sz val="11"/>
      <color indexed="63"/>
      <name val="Bookman Old Style"/>
      <family val="1"/>
    </font>
    <font>
      <i/>
      <sz val="11"/>
      <color indexed="63"/>
      <name val="Bookman Old Style"/>
      <family val="1"/>
    </font>
    <font>
      <b/>
      <sz val="11"/>
      <color indexed="63"/>
      <name val="Bookman Old Style"/>
      <family val="1"/>
    </font>
    <font>
      <sz val="11"/>
      <name val="Times New Roman"/>
      <family val="1"/>
    </font>
    <font>
      <b/>
      <sz val="11"/>
      <name val="Times New Roman"/>
      <family val="1"/>
    </font>
    <font>
      <b/>
      <i/>
      <sz val="10"/>
      <color indexed="8"/>
      <name val="Bookman Old Style"/>
      <family val="1"/>
    </font>
    <font>
      <sz val="11"/>
      <color indexed="12"/>
      <name val="Bookman Old Style"/>
      <family val="1"/>
    </font>
    <font>
      <sz val="10.5"/>
      <name val="Bookman Old Style"/>
      <family val="1"/>
    </font>
    <font>
      <sz val="12"/>
      <color indexed="8"/>
      <name val="Bookman Old Style"/>
      <family val="1"/>
    </font>
    <font>
      <sz val="12"/>
      <name val="Bookman Old Style"/>
      <family val="1"/>
    </font>
    <font>
      <b/>
      <sz val="12"/>
      <name val="Bookman Old Style"/>
      <family val="1"/>
    </font>
    <font>
      <sz val="18"/>
      <name val="Bookman Old Style"/>
      <family val="1"/>
    </font>
    <font>
      <sz val="9"/>
      <name val="Times New Roman"/>
      <family val="1"/>
    </font>
    <font>
      <sz val="10"/>
      <name val="Times New Roman"/>
      <family val="1"/>
    </font>
    <font>
      <b/>
      <i/>
      <sz val="11"/>
      <name val="Times New Roman"/>
      <family val="1"/>
    </font>
    <font>
      <i/>
      <sz val="11"/>
      <name val="Times New Roman"/>
      <family val="1"/>
    </font>
    <font>
      <b/>
      <sz val="10"/>
      <name val="Times New Roman"/>
      <family val="1"/>
    </font>
    <font>
      <b/>
      <sz val="9"/>
      <name val="Times New Roman"/>
      <family val="1"/>
    </font>
    <font>
      <b/>
      <i/>
      <sz val="9"/>
      <name val="Times New Roman"/>
      <family val="1"/>
    </font>
    <font>
      <i/>
      <sz val="9"/>
      <name val="Times New Roman"/>
      <family val="1"/>
    </font>
    <font>
      <sz val="10"/>
      <color indexed="8"/>
      <name val="Bookman Old Style"/>
      <family val="1"/>
    </font>
    <font>
      <b/>
      <sz val="10"/>
      <color indexed="8"/>
      <name val="Bookman Old Style"/>
      <family val="1"/>
    </font>
    <font>
      <b/>
      <u val="single"/>
      <sz val="10"/>
      <name val="Bookman Old Style"/>
      <family val="1"/>
    </font>
    <font>
      <i/>
      <sz val="12"/>
      <name val="Bookman Old Style"/>
      <family val="1"/>
    </font>
    <font>
      <b/>
      <u val="single"/>
      <sz val="12"/>
      <name val="Bookman Old Style"/>
      <family val="1"/>
    </font>
    <font>
      <sz val="7"/>
      <name val="Bookman Old Style"/>
      <family val="1"/>
    </font>
    <font>
      <sz val="10"/>
      <color indexed="8"/>
      <name val="Calibri"/>
      <family val="0"/>
    </font>
    <font>
      <sz val="7.75"/>
      <color indexed="8"/>
      <name val="Calibri"/>
      <family val="0"/>
    </font>
    <font>
      <u val="single"/>
      <sz val="10.55"/>
      <color indexed="20"/>
      <name val="Calibri"/>
      <family val="2"/>
    </font>
    <font>
      <u val="single"/>
      <sz val="10.55"/>
      <color indexed="12"/>
      <name val="Calibri"/>
      <family val="2"/>
    </font>
    <font>
      <sz val="16"/>
      <color indexed="8"/>
      <name val="Cambria"/>
      <family val="1"/>
    </font>
    <font>
      <b/>
      <sz val="12"/>
      <color indexed="9"/>
      <name val="Cambria"/>
      <family val="1"/>
    </font>
    <font>
      <sz val="8"/>
      <color indexed="10"/>
      <name val="Bookman Old Style"/>
      <family val="1"/>
    </font>
    <font>
      <sz val="8"/>
      <color indexed="8"/>
      <name val="Bookman Old Style"/>
      <family val="1"/>
    </font>
    <font>
      <i/>
      <sz val="11"/>
      <color indexed="8"/>
      <name val="Bookman Old Style"/>
      <family val="1"/>
    </font>
    <font>
      <b/>
      <sz val="9"/>
      <color indexed="8"/>
      <name val="Bookman Old Style"/>
      <family val="1"/>
    </font>
    <font>
      <sz val="11"/>
      <color indexed="8"/>
      <name val="Book Antiqua"/>
      <family val="1"/>
    </font>
    <font>
      <i/>
      <sz val="8"/>
      <color indexed="56"/>
      <name val="Bookman Old Style"/>
      <family val="1"/>
    </font>
    <font>
      <sz val="9"/>
      <color indexed="8"/>
      <name val="Bookman Old Style"/>
      <family val="1"/>
    </font>
    <font>
      <b/>
      <i/>
      <sz val="12"/>
      <color indexed="9"/>
      <name val="Cambria"/>
      <family val="1"/>
    </font>
    <font>
      <i/>
      <sz val="11"/>
      <color indexed="8"/>
      <name val="Calibri"/>
      <family val="2"/>
    </font>
    <font>
      <sz val="10"/>
      <color indexed="8"/>
      <name val="Book Antiqua"/>
      <family val="1"/>
    </font>
    <font>
      <sz val="11"/>
      <color indexed="18"/>
      <name val="Bookman Old Style"/>
      <family val="1"/>
    </font>
    <font>
      <sz val="10.5"/>
      <color indexed="8"/>
      <name val="Bookman Old Style"/>
      <family val="1"/>
    </font>
    <font>
      <sz val="11"/>
      <color indexed="8"/>
      <name val="Times New Roman"/>
      <family val="1"/>
    </font>
    <font>
      <sz val="11"/>
      <color indexed="28"/>
      <name val="Times New Roman"/>
      <family val="1"/>
    </font>
    <font>
      <b/>
      <sz val="11"/>
      <color indexed="8"/>
      <name val="Times New Roman"/>
      <family val="1"/>
    </font>
    <font>
      <i/>
      <sz val="11"/>
      <color indexed="8"/>
      <name val="Times New Roman"/>
      <family val="1"/>
    </font>
    <font>
      <b/>
      <i/>
      <sz val="11"/>
      <color indexed="8"/>
      <name val="Times New Roman"/>
      <family val="1"/>
    </font>
    <font>
      <sz val="11"/>
      <color indexed="10"/>
      <name val="Times New Roman"/>
      <family val="1"/>
    </font>
    <font>
      <i/>
      <sz val="11"/>
      <color indexed="17"/>
      <name val="Times New Roman"/>
      <family val="1"/>
    </font>
    <font>
      <sz val="11"/>
      <color indexed="17"/>
      <name val="Times New Roman"/>
      <family val="1"/>
    </font>
    <font>
      <b/>
      <sz val="11"/>
      <color indexed="10"/>
      <name val="Times New Roman"/>
      <family val="1"/>
    </font>
    <font>
      <i/>
      <sz val="11"/>
      <color indexed="10"/>
      <name val="Times New Roman"/>
      <family val="1"/>
    </font>
    <font>
      <b/>
      <sz val="10"/>
      <color indexed="8"/>
      <name val="Times New Roman"/>
      <family val="1"/>
    </font>
    <font>
      <sz val="10"/>
      <color indexed="10"/>
      <name val="Times New Roman"/>
      <family val="1"/>
    </font>
    <font>
      <sz val="9"/>
      <color indexed="10"/>
      <name val="Times New Roman"/>
      <family val="1"/>
    </font>
    <font>
      <b/>
      <sz val="12"/>
      <color indexed="9"/>
      <name val="Bookman Old Style"/>
      <family val="1"/>
    </font>
    <font>
      <b/>
      <sz val="10"/>
      <color indexed="18"/>
      <name val="Bookman Old Style"/>
      <family val="1"/>
    </font>
    <font>
      <i/>
      <sz val="12"/>
      <color indexed="10"/>
      <name val="Bookman Old Style"/>
      <family val="1"/>
    </font>
    <font>
      <sz val="11"/>
      <color indexed="10"/>
      <name val="Bookman Old Style"/>
      <family val="1"/>
    </font>
    <font>
      <b/>
      <sz val="12"/>
      <color indexed="8"/>
      <name val="Bookman Old Style"/>
      <family val="1"/>
    </font>
    <font>
      <sz val="11"/>
      <color indexed="28"/>
      <name val="Bookman Old Style"/>
      <family val="1"/>
    </font>
    <font>
      <b/>
      <sz val="8"/>
      <color indexed="8"/>
      <name val="Bookman Old Style"/>
      <family val="1"/>
    </font>
    <font>
      <b/>
      <sz val="11"/>
      <color indexed="30"/>
      <name val="Bookman Old Style"/>
      <family val="1"/>
    </font>
    <font>
      <sz val="10"/>
      <color indexed="10"/>
      <name val="Bookman Old Style"/>
      <family val="1"/>
    </font>
    <font>
      <sz val="11"/>
      <color indexed="40"/>
      <name val="Bookman Old Style"/>
      <family val="1"/>
    </font>
    <font>
      <b/>
      <sz val="14"/>
      <color indexed="8"/>
      <name val="Bookman Old Style"/>
      <family val="1"/>
    </font>
    <font>
      <b/>
      <sz val="10"/>
      <color indexed="10"/>
      <name val="Bookman Old Style"/>
      <family val="1"/>
    </font>
    <font>
      <b/>
      <i/>
      <sz val="10"/>
      <color indexed="10"/>
      <name val="Bookman Old Style"/>
      <family val="1"/>
    </font>
    <font>
      <b/>
      <sz val="11"/>
      <color indexed="10"/>
      <name val="Bookman Old Style"/>
      <family val="1"/>
    </font>
    <font>
      <b/>
      <sz val="11"/>
      <color indexed="18"/>
      <name val="Bookman Old Style"/>
      <family val="1"/>
    </font>
    <font>
      <sz val="8"/>
      <color indexed="56"/>
      <name val="Bookman Old Style"/>
      <family val="1"/>
    </font>
    <font>
      <sz val="11"/>
      <color indexed="36"/>
      <name val="Bookman Old Style"/>
      <family val="1"/>
    </font>
    <font>
      <sz val="11"/>
      <color indexed="53"/>
      <name val="Bookman Old Style"/>
      <family val="1"/>
    </font>
    <font>
      <sz val="10"/>
      <color indexed="18"/>
      <name val="Bookman Old Style"/>
      <family val="1"/>
    </font>
    <font>
      <b/>
      <sz val="10.5"/>
      <color indexed="8"/>
      <name val="Bookman Old Style"/>
      <family val="1"/>
    </font>
    <font>
      <i/>
      <sz val="8"/>
      <color indexed="8"/>
      <name val="Bookman Old Style"/>
      <family val="1"/>
    </font>
    <font>
      <i/>
      <sz val="10"/>
      <color indexed="8"/>
      <name val="Bookman Old Style"/>
      <family val="1"/>
    </font>
    <font>
      <sz val="22"/>
      <color indexed="10"/>
      <name val="Bookman Old Style"/>
      <family val="1"/>
    </font>
    <font>
      <b/>
      <sz val="11"/>
      <color indexed="62"/>
      <name val="Bookman Old Style"/>
      <family val="1"/>
    </font>
    <font>
      <b/>
      <i/>
      <sz val="8"/>
      <color indexed="8"/>
      <name val="Bookman Old Style"/>
      <family val="1"/>
    </font>
    <font>
      <b/>
      <sz val="11"/>
      <color indexed="9"/>
      <name val="Bookman Old Style"/>
      <family val="1"/>
    </font>
    <font>
      <b/>
      <sz val="12"/>
      <color indexed="9"/>
      <name val="Book Antiqua"/>
      <family val="1"/>
    </font>
    <font>
      <b/>
      <sz val="12"/>
      <color indexed="18"/>
      <name val="Book Antiqua"/>
      <family val="1"/>
    </font>
    <font>
      <b/>
      <sz val="10"/>
      <color indexed="18"/>
      <name val="Book Antiqua"/>
      <family val="1"/>
    </font>
    <font>
      <i/>
      <sz val="10"/>
      <name val="Cambria"/>
      <family val="1"/>
    </font>
    <font>
      <b/>
      <sz val="12"/>
      <color indexed="18"/>
      <name val="Bookman Old Style"/>
      <family val="1"/>
    </font>
    <font>
      <i/>
      <sz val="9"/>
      <color indexed="8"/>
      <name val="Bookman Old Style"/>
      <family val="1"/>
    </font>
    <font>
      <sz val="7"/>
      <color indexed="8"/>
      <name val="Bookman Old Style"/>
      <family val="1"/>
    </font>
    <font>
      <b/>
      <sz val="7"/>
      <color indexed="8"/>
      <name val="Bookman Old Style"/>
      <family val="1"/>
    </font>
    <font>
      <b/>
      <i/>
      <sz val="11"/>
      <color indexed="8"/>
      <name val="Bookman Old Style"/>
      <family val="1"/>
    </font>
    <font>
      <sz val="5"/>
      <color indexed="8"/>
      <name val="Bookman Old Style"/>
      <family val="1"/>
    </font>
    <font>
      <sz val="6"/>
      <color indexed="8"/>
      <name val="Bookman Old Style"/>
      <family val="1"/>
    </font>
    <font>
      <b/>
      <i/>
      <sz val="11"/>
      <color indexed="10"/>
      <name val="Bookman Old Style"/>
      <family val="1"/>
    </font>
    <font>
      <i/>
      <sz val="10"/>
      <color indexed="10"/>
      <name val="Bookman Old Style"/>
      <family val="1"/>
    </font>
    <font>
      <sz val="24"/>
      <color indexed="10"/>
      <name val="Bookman Old Style"/>
      <family val="1"/>
    </font>
    <font>
      <b/>
      <u val="single"/>
      <sz val="12"/>
      <color indexed="8"/>
      <name val="Bookman Old Style"/>
      <family val="1"/>
    </font>
    <font>
      <b/>
      <sz val="11"/>
      <color indexed="8"/>
      <name val="Book Antiqua"/>
      <family val="1"/>
    </font>
    <font>
      <i/>
      <sz val="11"/>
      <color indexed="18"/>
      <name val="Book Antiqua"/>
      <family val="1"/>
    </font>
    <font>
      <b/>
      <sz val="10"/>
      <color indexed="8"/>
      <name val="Book Antiqua"/>
      <family val="1"/>
    </font>
    <font>
      <i/>
      <sz val="11"/>
      <color indexed="8"/>
      <name val="Book Antiqua"/>
      <family val="1"/>
    </font>
    <font>
      <b/>
      <i/>
      <sz val="11"/>
      <color indexed="8"/>
      <name val="Book Antiqua"/>
      <family val="1"/>
    </font>
    <font>
      <b/>
      <sz val="10"/>
      <name val="Cambria"/>
      <family val="1"/>
    </font>
    <font>
      <b/>
      <sz val="10"/>
      <color indexed="8"/>
      <name val="Calibri"/>
      <family val="2"/>
    </font>
    <font>
      <b/>
      <sz val="11"/>
      <name val="Cambria"/>
      <family val="1"/>
    </font>
    <font>
      <sz val="11"/>
      <name val="Cambria"/>
      <family val="1"/>
    </font>
    <font>
      <b/>
      <i/>
      <sz val="11"/>
      <color indexed="8"/>
      <name val="Calibri"/>
      <family val="2"/>
    </font>
    <font>
      <sz val="22"/>
      <color indexed="9"/>
      <name val="Calibri"/>
      <family val="0"/>
    </font>
    <font>
      <sz val="22"/>
      <color indexed="9"/>
      <name val="Times New Roman"/>
      <family val="0"/>
    </font>
    <font>
      <sz val="36"/>
      <color indexed="16"/>
      <name val="Cambria"/>
      <family val="0"/>
    </font>
    <font>
      <sz val="36"/>
      <color indexed="16"/>
      <name val="Times New Roman"/>
      <family val="0"/>
    </font>
    <font>
      <sz val="20"/>
      <color indexed="9"/>
      <name val="Calibri"/>
      <family val="0"/>
    </font>
    <font>
      <sz val="20"/>
      <color indexed="9"/>
      <name val="Times New Roman"/>
      <family val="0"/>
    </font>
    <font>
      <sz val="14"/>
      <color indexed="9"/>
      <name val="Times New Roman"/>
      <family val="0"/>
    </font>
    <font>
      <sz val="14"/>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5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5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mbria"/>
      <family val="1"/>
    </font>
    <font>
      <b/>
      <sz val="12"/>
      <color theme="0"/>
      <name val="Cambria"/>
      <family val="1"/>
    </font>
    <font>
      <sz val="11"/>
      <color rgb="FF000000"/>
      <name val="Bookman Old Style"/>
      <family val="1"/>
    </font>
    <font>
      <sz val="8"/>
      <color rgb="FFFF0000"/>
      <name val="Bookman Old Style"/>
      <family val="1"/>
    </font>
    <font>
      <sz val="10"/>
      <color rgb="FF000000"/>
      <name val="Bookman Old Style"/>
      <family val="1"/>
    </font>
    <font>
      <sz val="8"/>
      <color rgb="FF000000"/>
      <name val="Bookman Old Style"/>
      <family val="1"/>
    </font>
    <font>
      <b/>
      <sz val="11"/>
      <color rgb="FF000000"/>
      <name val="Bookman Old Style"/>
      <family val="1"/>
    </font>
    <font>
      <i/>
      <sz val="11"/>
      <color rgb="FF000000"/>
      <name val="Bookman Old Style"/>
      <family val="1"/>
    </font>
    <font>
      <b/>
      <sz val="10"/>
      <color rgb="FF000000"/>
      <name val="Bookman Old Style"/>
      <family val="1"/>
    </font>
    <font>
      <b/>
      <sz val="9"/>
      <color rgb="FF000000"/>
      <name val="Bookman Old Style"/>
      <family val="1"/>
    </font>
    <font>
      <sz val="11"/>
      <color theme="1"/>
      <name val="Book Antiqua"/>
      <family val="1"/>
    </font>
    <font>
      <i/>
      <sz val="8"/>
      <color theme="3"/>
      <name val="Bookman Old Style"/>
      <family val="1"/>
    </font>
    <font>
      <sz val="9"/>
      <color rgb="FF000000"/>
      <name val="Bookman Old Style"/>
      <family val="1"/>
    </font>
    <font>
      <b/>
      <i/>
      <sz val="12"/>
      <color theme="0"/>
      <name val="Cambria"/>
      <family val="1"/>
    </font>
    <font>
      <i/>
      <sz val="11"/>
      <color theme="1"/>
      <name val="Calibri"/>
      <family val="2"/>
    </font>
    <font>
      <sz val="10"/>
      <color theme="1"/>
      <name val="Book Antiqua"/>
      <family val="1"/>
    </font>
    <font>
      <sz val="11"/>
      <color theme="1"/>
      <name val="Bookman Old Style"/>
      <family val="1"/>
    </font>
    <font>
      <b/>
      <sz val="11"/>
      <color theme="1"/>
      <name val="Bookman Old Style"/>
      <family val="1"/>
    </font>
    <font>
      <sz val="11"/>
      <color theme="3" tint="-0.24997000396251678"/>
      <name val="Bookman Old Style"/>
      <family val="1"/>
    </font>
    <font>
      <b/>
      <i/>
      <sz val="10"/>
      <color theme="1"/>
      <name val="Bookman Old Style"/>
      <family val="1"/>
    </font>
    <font>
      <sz val="10.5"/>
      <color rgb="FF000000"/>
      <name val="Bookman Old Style"/>
      <family val="1"/>
    </font>
    <font>
      <i/>
      <sz val="11"/>
      <color theme="1"/>
      <name val="Bookman Old Style"/>
      <family val="1"/>
    </font>
    <font>
      <sz val="12"/>
      <color theme="1"/>
      <name val="Bookman Old Style"/>
      <family val="1"/>
    </font>
    <font>
      <sz val="11"/>
      <color theme="1"/>
      <name val="Times New Roman"/>
      <family val="1"/>
    </font>
    <font>
      <sz val="11"/>
      <color theme="7" tint="-0.4999699890613556"/>
      <name val="Times New Roman"/>
      <family val="1"/>
    </font>
    <font>
      <b/>
      <sz val="11"/>
      <color theme="1"/>
      <name val="Times New Roman"/>
      <family val="1"/>
    </font>
    <font>
      <i/>
      <sz val="11"/>
      <color theme="1"/>
      <name val="Times New Roman"/>
      <family val="1"/>
    </font>
    <font>
      <b/>
      <i/>
      <sz val="11"/>
      <color theme="1"/>
      <name val="Times New Roman"/>
      <family val="1"/>
    </font>
    <font>
      <sz val="11"/>
      <color rgb="FFFF0000"/>
      <name val="Times New Roman"/>
      <family val="1"/>
    </font>
    <font>
      <i/>
      <sz val="11"/>
      <color rgb="FF00B050"/>
      <name val="Times New Roman"/>
      <family val="1"/>
    </font>
    <font>
      <sz val="11"/>
      <color rgb="FF00B050"/>
      <name val="Times New Roman"/>
      <family val="1"/>
    </font>
    <font>
      <i/>
      <sz val="11"/>
      <color rgb="FF000000"/>
      <name val="Times New Roman"/>
      <family val="1"/>
    </font>
    <font>
      <b/>
      <sz val="11"/>
      <color rgb="FFFF0000"/>
      <name val="Times New Roman"/>
      <family val="1"/>
    </font>
    <font>
      <i/>
      <sz val="11"/>
      <color rgb="FFFF0000"/>
      <name val="Times New Roman"/>
      <family val="1"/>
    </font>
    <font>
      <sz val="11"/>
      <color rgb="FF000000"/>
      <name val="Times New Roman"/>
      <family val="1"/>
    </font>
    <font>
      <b/>
      <sz val="10"/>
      <color theme="1"/>
      <name val="Times New Roman"/>
      <family val="1"/>
    </font>
    <font>
      <sz val="10"/>
      <color rgb="FFFF0000"/>
      <name val="Times New Roman"/>
      <family val="1"/>
    </font>
    <font>
      <sz val="9"/>
      <color rgb="FFFF0000"/>
      <name val="Times New Roman"/>
      <family val="1"/>
    </font>
    <font>
      <b/>
      <sz val="12"/>
      <color theme="0"/>
      <name val="Bookman Old Style"/>
      <family val="1"/>
    </font>
    <font>
      <b/>
      <sz val="10"/>
      <color theme="3" tint="-0.24997000396251678"/>
      <name val="Bookman Old Style"/>
      <family val="1"/>
    </font>
    <font>
      <i/>
      <sz val="12"/>
      <color rgb="FFFF0000"/>
      <name val="Bookman Old Style"/>
      <family val="1"/>
    </font>
    <font>
      <sz val="11"/>
      <color rgb="FFFF0000"/>
      <name val="Bookman Old Style"/>
      <family val="1"/>
    </font>
    <font>
      <b/>
      <sz val="12"/>
      <color theme="1"/>
      <name val="Bookman Old Style"/>
      <family val="1"/>
    </font>
    <font>
      <sz val="8"/>
      <color theme="1"/>
      <name val="Bookman Old Style"/>
      <family val="1"/>
    </font>
    <font>
      <sz val="11"/>
      <color theme="7" tint="-0.4999699890613556"/>
      <name val="Bookman Old Style"/>
      <family val="1"/>
    </font>
    <font>
      <b/>
      <sz val="8"/>
      <color theme="1"/>
      <name val="Bookman Old Style"/>
      <family val="1"/>
    </font>
    <font>
      <sz val="9"/>
      <color theme="1"/>
      <name val="Bookman Old Style"/>
      <family val="1"/>
    </font>
    <font>
      <b/>
      <sz val="11"/>
      <color rgb="FF0070C0"/>
      <name val="Bookman Old Style"/>
      <family val="1"/>
    </font>
    <font>
      <sz val="10"/>
      <color theme="1"/>
      <name val="Bookman Old Style"/>
      <family val="1"/>
    </font>
    <font>
      <sz val="10"/>
      <color rgb="FFFF0000"/>
      <name val="Bookman Old Style"/>
      <family val="1"/>
    </font>
    <font>
      <sz val="11"/>
      <color rgb="FF00B0F0"/>
      <name val="Bookman Old Style"/>
      <family val="1"/>
    </font>
    <font>
      <b/>
      <sz val="14"/>
      <color theme="1"/>
      <name val="Bookman Old Style"/>
      <family val="1"/>
    </font>
    <font>
      <b/>
      <sz val="10"/>
      <color rgb="FFFF0000"/>
      <name val="Bookman Old Style"/>
      <family val="1"/>
    </font>
    <font>
      <b/>
      <i/>
      <sz val="10"/>
      <color rgb="FFFF0000"/>
      <name val="Bookman Old Style"/>
      <family val="1"/>
    </font>
    <font>
      <b/>
      <sz val="11"/>
      <color rgb="FFFF0000"/>
      <name val="Bookman Old Style"/>
      <family val="1"/>
    </font>
    <font>
      <b/>
      <sz val="11"/>
      <color theme="3" tint="-0.24997000396251678"/>
      <name val="Bookman Old Style"/>
      <family val="1"/>
    </font>
    <font>
      <sz val="8"/>
      <color theme="3"/>
      <name val="Bookman Old Style"/>
      <family val="1"/>
    </font>
    <font>
      <sz val="11"/>
      <color theme="7"/>
      <name val="Bookman Old Style"/>
      <family val="1"/>
    </font>
    <font>
      <sz val="11"/>
      <color theme="9" tint="-0.24997000396251678"/>
      <name val="Bookman Old Style"/>
      <family val="1"/>
    </font>
    <font>
      <sz val="10"/>
      <color theme="3" tint="-0.24997000396251678"/>
      <name val="Bookman Old Style"/>
      <family val="1"/>
    </font>
    <font>
      <b/>
      <sz val="10.5"/>
      <color rgb="FF000000"/>
      <name val="Bookman Old Style"/>
      <family val="1"/>
    </font>
    <font>
      <i/>
      <sz val="8"/>
      <color rgb="FF000000"/>
      <name val="Bookman Old Style"/>
      <family val="1"/>
    </font>
    <font>
      <i/>
      <sz val="10"/>
      <color theme="1"/>
      <name val="Bookman Old Style"/>
      <family val="1"/>
    </font>
    <font>
      <sz val="22"/>
      <color rgb="FFFF0000"/>
      <name val="Bookman Old Style"/>
      <family val="1"/>
    </font>
    <font>
      <b/>
      <sz val="11"/>
      <color theme="4" tint="-0.24997000396251678"/>
      <name val="Bookman Old Style"/>
      <family val="1"/>
    </font>
    <font>
      <i/>
      <sz val="8"/>
      <color theme="1"/>
      <name val="Bookman Old Style"/>
      <family val="1"/>
    </font>
    <font>
      <b/>
      <i/>
      <sz val="8"/>
      <color theme="1"/>
      <name val="Bookman Old Style"/>
      <family val="1"/>
    </font>
    <font>
      <b/>
      <sz val="11"/>
      <color theme="1"/>
      <name val="Book Antiqua"/>
      <family val="1"/>
    </font>
    <font>
      <b/>
      <sz val="10"/>
      <color theme="1"/>
      <name val="Book Antiqua"/>
      <family val="1"/>
    </font>
    <font>
      <i/>
      <sz val="11"/>
      <color theme="1"/>
      <name val="Book Antiqua"/>
      <family val="1"/>
    </font>
    <font>
      <b/>
      <i/>
      <sz val="11"/>
      <color theme="1"/>
      <name val="Book Antiqua"/>
      <family val="1"/>
    </font>
    <font>
      <b/>
      <sz val="10"/>
      <color theme="1"/>
      <name val="Calibri"/>
      <family val="2"/>
    </font>
    <font>
      <b/>
      <i/>
      <sz val="11"/>
      <color theme="1"/>
      <name val="Calibri"/>
      <family val="2"/>
    </font>
    <font>
      <i/>
      <sz val="16"/>
      <color theme="1"/>
      <name val="Cambria"/>
      <family val="1"/>
    </font>
    <font>
      <b/>
      <sz val="11"/>
      <color theme="0"/>
      <name val="Bookman Old Style"/>
      <family val="1"/>
    </font>
    <font>
      <b/>
      <sz val="12"/>
      <color theme="0"/>
      <name val="Book Antiqua"/>
      <family val="1"/>
    </font>
    <font>
      <i/>
      <sz val="11"/>
      <color theme="3" tint="-0.24997000396251678"/>
      <name val="Book Antiqua"/>
      <family val="1"/>
    </font>
    <font>
      <b/>
      <sz val="12"/>
      <color theme="3" tint="-0.24997000396251678"/>
      <name val="Book Antiqua"/>
      <family val="1"/>
    </font>
    <font>
      <b/>
      <sz val="10"/>
      <color theme="3" tint="-0.24997000396251678"/>
      <name val="Book Antiqua"/>
      <family val="1"/>
    </font>
    <font>
      <b/>
      <sz val="12"/>
      <color theme="3" tint="-0.24997000396251678"/>
      <name val="Bookman Old Style"/>
      <family val="1"/>
    </font>
    <font>
      <i/>
      <sz val="9"/>
      <color rgb="FF000000"/>
      <name val="Bookman Old Style"/>
      <family val="1"/>
    </font>
    <font>
      <b/>
      <sz val="7"/>
      <color rgb="FF000000"/>
      <name val="Bookman Old Style"/>
      <family val="1"/>
    </font>
    <font>
      <i/>
      <sz val="10"/>
      <color rgb="FFFF0000"/>
      <name val="Bookman Old Style"/>
      <family val="1"/>
    </font>
    <font>
      <b/>
      <u val="single"/>
      <sz val="12"/>
      <color theme="1"/>
      <name val="Bookman Old Style"/>
      <family val="1"/>
    </font>
    <font>
      <sz val="11"/>
      <color rgb="FF7030A0"/>
      <name val="Bookman Old Style"/>
      <family val="1"/>
    </font>
    <font>
      <sz val="24"/>
      <color rgb="FFFF0000"/>
      <name val="Bookman Old Style"/>
      <family val="1"/>
    </font>
    <font>
      <sz val="7"/>
      <color rgb="FF000000"/>
      <name val="Bookman Old Style"/>
      <family val="1"/>
    </font>
    <font>
      <b/>
      <i/>
      <sz val="11"/>
      <color rgb="FF000000"/>
      <name val="Bookman Old Style"/>
      <family val="1"/>
    </font>
    <font>
      <b/>
      <sz val="8"/>
      <color rgb="FF000000"/>
      <name val="Bookman Old Style"/>
      <family val="1"/>
    </font>
    <font>
      <i/>
      <sz val="10"/>
      <color rgb="FF000000"/>
      <name val="Bookman Old Style"/>
      <family val="1"/>
    </font>
    <font>
      <b/>
      <sz val="9"/>
      <color theme="1"/>
      <name val="Bookman Old Style"/>
      <family val="1"/>
    </font>
    <font>
      <sz val="7"/>
      <color theme="1"/>
      <name val="Bookman Old Style"/>
      <family val="1"/>
    </font>
    <font>
      <sz val="6"/>
      <color theme="1"/>
      <name val="Bookman Old Style"/>
      <family val="1"/>
    </font>
    <font>
      <sz val="6"/>
      <color rgb="FF000000"/>
      <name val="Bookman Old Style"/>
      <family val="1"/>
    </font>
    <font>
      <b/>
      <i/>
      <sz val="11"/>
      <color rgb="FFFF0000"/>
      <name val="Bookman Old Style"/>
      <family val="1"/>
    </font>
    <font>
      <b/>
      <sz val="10"/>
      <color theme="1"/>
      <name val="Bookman Old Style"/>
      <family val="1"/>
    </font>
    <font>
      <sz val="5"/>
      <color rgb="FF000000"/>
      <name val="Bookman Old Style"/>
      <family val="1"/>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3" tint="0.39998000860214233"/>
        <bgColor indexed="64"/>
      </patternFill>
    </fill>
    <fill>
      <patternFill patternType="solid">
        <fgColor rgb="FFCCFF9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rgb="FFCC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top/>
      <bottom style="thin"/>
    </border>
    <border>
      <left/>
      <right style="thin"/>
      <top/>
      <bottom style="thin"/>
    </border>
    <border>
      <left/>
      <right style="thin"/>
      <top/>
      <bottom/>
    </border>
    <border>
      <left style="thin"/>
      <right style="thin"/>
      <top style="thin"/>
      <bottom style="double"/>
    </border>
    <border>
      <left/>
      <right style="thin"/>
      <top style="thin"/>
      <bottom style="double"/>
    </border>
    <border>
      <left style="thin"/>
      <right style="thin"/>
      <top style="double"/>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style="thin"/>
      <right style="thin"/>
      <top style="thin"/>
      <bottom/>
    </border>
    <border>
      <left/>
      <right style="thin"/>
      <top style="thin"/>
      <bottom/>
    </border>
    <border>
      <left style="thin"/>
      <right/>
      <top/>
      <bottom style="dotted"/>
    </border>
    <border>
      <left/>
      <right/>
      <top/>
      <bottom style="dotted"/>
    </border>
    <border>
      <left style="thin"/>
      <right style="thin"/>
      <top/>
      <bottom style="dashed"/>
    </border>
    <border>
      <left/>
      <right/>
      <top style="dotted"/>
      <bottom style="dotted"/>
    </border>
    <border>
      <left style="thin"/>
      <right style="thin"/>
      <top style="dashed"/>
      <bottom style="dashed"/>
    </border>
    <border>
      <left/>
      <right/>
      <top style="dotted"/>
      <bottom/>
    </border>
    <border>
      <left style="thin"/>
      <right/>
      <top style="dotted"/>
      <bottom style="dotted"/>
    </border>
    <border>
      <left style="thin"/>
      <right/>
      <top style="dotted"/>
      <bottom/>
    </border>
    <border>
      <left style="thin"/>
      <right style="dotted"/>
      <top style="dotted"/>
      <bottom style="dotted"/>
    </border>
    <border>
      <left style="thin"/>
      <right/>
      <top style="dotted"/>
      <bottom style="thin"/>
    </border>
    <border>
      <left/>
      <right/>
      <top style="dotted"/>
      <bottom style="thin"/>
    </border>
    <border>
      <left style="thin"/>
      <right style="thin"/>
      <top style="dashed"/>
      <bottom style="thin"/>
    </border>
    <border>
      <left style="thin"/>
      <right style="thin"/>
      <top style="thin"/>
      <bottom style="dashed"/>
    </border>
    <border>
      <left style="dotted"/>
      <right/>
      <top style="dotted"/>
      <bottom style="dotted"/>
    </border>
    <border>
      <left style="dotted"/>
      <right/>
      <top/>
      <bottom style="dotted"/>
    </border>
    <border>
      <left style="thin"/>
      <right style="thin"/>
      <top style="dashed"/>
      <bottom/>
    </border>
    <border>
      <left style="thin"/>
      <right style="thin"/>
      <top style="hair"/>
      <bottom style="hair"/>
    </border>
    <border>
      <left style="thin"/>
      <right style="thin"/>
      <top style="hair"/>
      <bottom/>
    </border>
    <border>
      <left style="thick">
        <color theme="9" tint="-0.4999699890613556"/>
      </left>
      <right/>
      <top/>
      <bottom style="thick">
        <color theme="9" tint="-0.4999699890613556"/>
      </bottom>
    </border>
    <border>
      <left/>
      <right/>
      <top/>
      <bottom style="thick">
        <color theme="9" tint="-0.4999699890613556"/>
      </bottom>
    </border>
    <border>
      <left/>
      <right/>
      <top style="thin"/>
      <bottom/>
    </border>
    <border>
      <left style="thin"/>
      <right style="thin"/>
      <top style="double"/>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66" fillId="24" borderId="0" applyNumberFormat="0" applyBorder="0" applyAlignment="0" applyProtection="0"/>
    <xf numFmtId="0" fontId="3" fillId="25" borderId="0" applyNumberFormat="0" applyBorder="0" applyAlignment="0" applyProtection="0"/>
    <xf numFmtId="0" fontId="166" fillId="26" borderId="0" applyNumberFormat="0" applyBorder="0" applyAlignment="0" applyProtection="0"/>
    <xf numFmtId="0" fontId="3" fillId="17" borderId="0" applyNumberFormat="0" applyBorder="0" applyAlignment="0" applyProtection="0"/>
    <xf numFmtId="0" fontId="166" fillId="27" borderId="0" applyNumberFormat="0" applyBorder="0" applyAlignment="0" applyProtection="0"/>
    <xf numFmtId="0" fontId="3" fillId="19" borderId="0" applyNumberFormat="0" applyBorder="0" applyAlignment="0" applyProtection="0"/>
    <xf numFmtId="0" fontId="166" fillId="28" borderId="0" applyNumberFormat="0" applyBorder="0" applyAlignment="0" applyProtection="0"/>
    <xf numFmtId="0" fontId="3" fillId="29" borderId="0" applyNumberFormat="0" applyBorder="0" applyAlignment="0" applyProtection="0"/>
    <xf numFmtId="0" fontId="166" fillId="30" borderId="0" applyNumberFormat="0" applyBorder="0" applyAlignment="0" applyProtection="0"/>
    <xf numFmtId="0" fontId="3" fillId="31" borderId="0" applyNumberFormat="0" applyBorder="0" applyAlignment="0" applyProtection="0"/>
    <xf numFmtId="0" fontId="166" fillId="32" borderId="0" applyNumberFormat="0" applyBorder="0" applyAlignment="0" applyProtection="0"/>
    <xf numFmtId="0" fontId="3" fillId="33" borderId="0" applyNumberFormat="0" applyBorder="0" applyAlignment="0" applyProtection="0"/>
    <xf numFmtId="0" fontId="166" fillId="34" borderId="0" applyNumberFormat="0" applyBorder="0" applyAlignment="0" applyProtection="0"/>
    <xf numFmtId="0" fontId="3" fillId="35" borderId="0" applyNumberFormat="0" applyBorder="0" applyAlignment="0" applyProtection="0"/>
    <xf numFmtId="0" fontId="166" fillId="36" borderId="0" applyNumberFormat="0" applyBorder="0" applyAlignment="0" applyProtection="0"/>
    <xf numFmtId="0" fontId="3" fillId="37" borderId="0" applyNumberFormat="0" applyBorder="0" applyAlignment="0" applyProtection="0"/>
    <xf numFmtId="0" fontId="166" fillId="38" borderId="0" applyNumberFormat="0" applyBorder="0" applyAlignment="0" applyProtection="0"/>
    <xf numFmtId="0" fontId="3" fillId="39" borderId="0" applyNumberFormat="0" applyBorder="0" applyAlignment="0" applyProtection="0"/>
    <xf numFmtId="0" fontId="166" fillId="40" borderId="0" applyNumberFormat="0" applyBorder="0" applyAlignment="0" applyProtection="0"/>
    <xf numFmtId="0" fontId="3" fillId="29" borderId="0" applyNumberFormat="0" applyBorder="0" applyAlignment="0" applyProtection="0"/>
    <xf numFmtId="0" fontId="166" fillId="41" borderId="0" applyNumberFormat="0" applyBorder="0" applyAlignment="0" applyProtection="0"/>
    <xf numFmtId="0" fontId="3" fillId="31" borderId="0" applyNumberFormat="0" applyBorder="0" applyAlignment="0" applyProtection="0"/>
    <xf numFmtId="0" fontId="166" fillId="42" borderId="0" applyNumberFormat="0" applyBorder="0" applyAlignment="0" applyProtection="0"/>
    <xf numFmtId="0" fontId="3" fillId="43" borderId="0" applyNumberFormat="0" applyBorder="0" applyAlignment="0" applyProtection="0"/>
    <xf numFmtId="0" fontId="167" fillId="44" borderId="0" applyNumberFormat="0" applyBorder="0" applyAlignment="0" applyProtection="0"/>
    <xf numFmtId="0" fontId="4" fillId="5" borderId="0" applyNumberFormat="0" applyBorder="0" applyAlignment="0" applyProtection="0"/>
    <xf numFmtId="0" fontId="168" fillId="45" borderId="1" applyNumberFormat="0" applyAlignment="0" applyProtection="0"/>
    <xf numFmtId="0" fontId="5" fillId="46" borderId="2" applyNumberFormat="0" applyAlignment="0" applyProtection="0"/>
    <xf numFmtId="0" fontId="169"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0" fillId="0" borderId="0" applyNumberFormat="0" applyFill="0" applyBorder="0" applyAlignment="0" applyProtection="0"/>
    <xf numFmtId="0" fontId="7" fillId="0" borderId="0" applyNumberFormat="0" applyFill="0" applyBorder="0" applyAlignment="0" applyProtection="0"/>
    <xf numFmtId="0" fontId="171" fillId="0" borderId="0" applyNumberFormat="0" applyFill="0" applyBorder="0" applyAlignment="0" applyProtection="0"/>
    <xf numFmtId="0" fontId="172" fillId="49" borderId="0" applyNumberFormat="0" applyBorder="0" applyAlignment="0" applyProtection="0"/>
    <xf numFmtId="0" fontId="8" fillId="7" borderId="0" applyNumberFormat="0" applyBorder="0" applyAlignment="0" applyProtection="0"/>
    <xf numFmtId="0" fontId="173" fillId="0" borderId="5" applyNumberFormat="0" applyFill="0" applyAlignment="0" applyProtection="0"/>
    <xf numFmtId="0" fontId="9" fillId="0" borderId="6" applyNumberFormat="0" applyFill="0" applyAlignment="0" applyProtection="0"/>
    <xf numFmtId="0" fontId="174" fillId="0" borderId="7" applyNumberFormat="0" applyFill="0" applyAlignment="0" applyProtection="0"/>
    <xf numFmtId="0" fontId="10" fillId="0" borderId="8" applyNumberFormat="0" applyFill="0" applyAlignment="0" applyProtection="0"/>
    <xf numFmtId="0" fontId="175" fillId="0" borderId="9" applyNumberFormat="0" applyFill="0" applyAlignment="0" applyProtection="0"/>
    <xf numFmtId="0" fontId="11" fillId="0" borderId="10" applyNumberFormat="0" applyFill="0" applyAlignment="0" applyProtection="0"/>
    <xf numFmtId="0" fontId="175" fillId="0" borderId="0" applyNumberFormat="0" applyFill="0" applyBorder="0" applyAlignment="0" applyProtection="0"/>
    <xf numFmtId="0" fontId="11" fillId="0" borderId="0" applyNumberFormat="0" applyFill="0" applyBorder="0" applyAlignment="0" applyProtection="0"/>
    <xf numFmtId="0" fontId="176" fillId="0" borderId="0" applyNumberFormat="0" applyFill="0" applyBorder="0" applyAlignment="0" applyProtection="0"/>
    <xf numFmtId="0" fontId="177" fillId="50" borderId="1" applyNumberFormat="0" applyAlignment="0" applyProtection="0"/>
    <xf numFmtId="0" fontId="12" fillId="13" borderId="2" applyNumberFormat="0" applyAlignment="0" applyProtection="0"/>
    <xf numFmtId="0" fontId="178" fillId="0" borderId="11" applyNumberFormat="0" applyFill="0" applyAlignment="0" applyProtection="0"/>
    <xf numFmtId="0" fontId="13" fillId="0" borderId="12" applyNumberFormat="0" applyFill="0" applyAlignment="0" applyProtection="0"/>
    <xf numFmtId="0" fontId="179" fillId="51" borderId="0" applyNumberFormat="0" applyBorder="0" applyAlignment="0" applyProtection="0"/>
    <xf numFmtId="0" fontId="14" fillId="52"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31" fillId="0" borderId="0">
      <alignment/>
      <protection/>
    </xf>
    <xf numFmtId="0" fontId="2" fillId="0" borderId="0">
      <alignment/>
      <protection/>
    </xf>
    <xf numFmtId="0" fontId="0" fillId="0" borderId="0">
      <alignment/>
      <protection/>
    </xf>
    <xf numFmtId="0" fontId="0" fillId="53" borderId="13" applyNumberFormat="0" applyFont="0" applyAlignment="0" applyProtection="0"/>
    <xf numFmtId="0" fontId="2" fillId="54" borderId="14" applyNumberFormat="0" applyFont="0" applyAlignment="0" applyProtection="0"/>
    <xf numFmtId="0" fontId="180"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0" fontId="181" fillId="0" borderId="0" applyNumberFormat="0" applyFill="0" applyBorder="0" applyAlignment="0" applyProtection="0"/>
    <xf numFmtId="0" fontId="16" fillId="0" borderId="0" applyNumberFormat="0" applyFill="0" applyBorder="0" applyAlignment="0" applyProtection="0"/>
    <xf numFmtId="0" fontId="182" fillId="0" borderId="17" applyNumberFormat="0" applyFill="0" applyAlignment="0" applyProtection="0"/>
    <xf numFmtId="0" fontId="17" fillId="0" borderId="18" applyNumberFormat="0" applyFill="0" applyAlignment="0" applyProtection="0"/>
    <xf numFmtId="0" fontId="183" fillId="0" borderId="0" applyNumberFormat="0" applyFill="0" applyBorder="0" applyAlignment="0" applyProtection="0"/>
    <xf numFmtId="0" fontId="18" fillId="0" borderId="0" applyNumberFormat="0" applyFill="0" applyBorder="0" applyAlignment="0" applyProtection="0"/>
  </cellStyleXfs>
  <cellXfs count="1766">
    <xf numFmtId="0" fontId="0" fillId="0" borderId="0" xfId="0" applyFont="1" applyAlignment="1">
      <alignment/>
    </xf>
    <xf numFmtId="0" fontId="184" fillId="0" borderId="0" xfId="0" applyFont="1" applyAlignment="1">
      <alignment/>
    </xf>
    <xf numFmtId="0" fontId="184" fillId="0" borderId="0" xfId="0" applyFont="1" applyAlignment="1">
      <alignment vertical="top"/>
    </xf>
    <xf numFmtId="0" fontId="0" fillId="0" borderId="0" xfId="0" applyAlignment="1">
      <alignment/>
    </xf>
    <xf numFmtId="0" fontId="185" fillId="0" borderId="0" xfId="103" applyFont="1" applyFill="1" applyAlignment="1">
      <alignment horizontal="right" vertical="center"/>
      <protection/>
    </xf>
    <xf numFmtId="41" fontId="186" fillId="0" borderId="0" xfId="0" applyNumberFormat="1" applyFont="1" applyFill="1" applyBorder="1" applyAlignment="1">
      <alignment horizontal="center" vertical="top" wrapText="1"/>
    </xf>
    <xf numFmtId="168" fontId="187" fillId="0" borderId="19" xfId="0" applyNumberFormat="1" applyFont="1" applyBorder="1" applyAlignment="1">
      <alignment vertical="top" wrapText="1"/>
    </xf>
    <xf numFmtId="168" fontId="21" fillId="0" borderId="19" xfId="0" applyNumberFormat="1" applyFont="1" applyBorder="1" applyAlignment="1">
      <alignment vertical="top" wrapText="1"/>
    </xf>
    <xf numFmtId="0" fontId="188" fillId="0" borderId="0" xfId="0" applyFont="1" applyFill="1" applyBorder="1" applyAlignment="1">
      <alignment horizontal="center" vertical="center"/>
    </xf>
    <xf numFmtId="0" fontId="186" fillId="0" borderId="0" xfId="0" applyFont="1" applyFill="1" applyBorder="1" applyAlignment="1">
      <alignment horizontal="center" vertical="top"/>
    </xf>
    <xf numFmtId="41" fontId="189" fillId="0" borderId="0" xfId="0" applyNumberFormat="1" applyFont="1" applyFill="1" applyBorder="1" applyAlignment="1">
      <alignment horizontal="center" vertical="center" wrapText="1"/>
    </xf>
    <xf numFmtId="170" fontId="189" fillId="0" borderId="0" xfId="0" applyNumberFormat="1" applyFont="1" applyFill="1" applyBorder="1" applyAlignment="1">
      <alignment horizontal="center" vertical="center" wrapText="1"/>
    </xf>
    <xf numFmtId="0" fontId="186" fillId="0" borderId="0" xfId="0" applyFont="1" applyFill="1" applyBorder="1" applyAlignment="1">
      <alignment vertical="top" wrapText="1"/>
    </xf>
    <xf numFmtId="41" fontId="186" fillId="0" borderId="0" xfId="0" applyNumberFormat="1" applyFont="1" applyFill="1" applyBorder="1" applyAlignment="1">
      <alignment vertical="top" wrapText="1"/>
    </xf>
    <xf numFmtId="0" fontId="190" fillId="0" borderId="0" xfId="0" applyFont="1" applyFill="1" applyBorder="1" applyAlignment="1">
      <alignment vertical="center" wrapText="1"/>
    </xf>
    <xf numFmtId="0" fontId="29" fillId="0" borderId="20" xfId="0" applyFont="1" applyFill="1" applyBorder="1" applyAlignment="1">
      <alignment horizontal="center"/>
    </xf>
    <xf numFmtId="0" fontId="28" fillId="0" borderId="20" xfId="0" applyFont="1" applyFill="1" applyBorder="1" applyAlignment="1">
      <alignment/>
    </xf>
    <xf numFmtId="0" fontId="28" fillId="0" borderId="19" xfId="0" applyFont="1" applyFill="1" applyBorder="1" applyAlignment="1">
      <alignment/>
    </xf>
    <xf numFmtId="0" fontId="28" fillId="0" borderId="20" xfId="0" applyFont="1" applyFill="1" applyBorder="1" applyAlignment="1">
      <alignment horizontal="center"/>
    </xf>
    <xf numFmtId="0" fontId="30" fillId="0" borderId="19" xfId="0" applyFont="1" applyFill="1" applyBorder="1" applyAlignment="1">
      <alignment/>
    </xf>
    <xf numFmtId="0" fontId="30" fillId="0" borderId="21" xfId="0" applyFont="1" applyFill="1" applyBorder="1" applyAlignment="1">
      <alignment horizontal="center"/>
    </xf>
    <xf numFmtId="0" fontId="22" fillId="0" borderId="20" xfId="0" applyFont="1" applyFill="1" applyBorder="1" applyAlignment="1">
      <alignment/>
    </xf>
    <xf numFmtId="0" fontId="28" fillId="0" borderId="20" xfId="0" applyFont="1" applyFill="1" applyBorder="1" applyAlignment="1">
      <alignment/>
    </xf>
    <xf numFmtId="0" fontId="30" fillId="0" borderId="20" xfId="0" applyFont="1" applyFill="1" applyBorder="1" applyAlignment="1">
      <alignment/>
    </xf>
    <xf numFmtId="0" fontId="28" fillId="0" borderId="21" xfId="0" applyFont="1" applyFill="1" applyBorder="1" applyAlignment="1">
      <alignment horizontal="center" vertical="center"/>
    </xf>
    <xf numFmtId="0" fontId="28" fillId="0" borderId="20" xfId="0" applyFont="1" applyFill="1" applyBorder="1" applyAlignment="1">
      <alignment vertical="center"/>
    </xf>
    <xf numFmtId="0" fontId="190" fillId="0" borderId="20" xfId="0" applyFont="1" applyFill="1" applyBorder="1" applyAlignment="1">
      <alignment horizontal="justify" vertical="center" wrapText="1"/>
    </xf>
    <xf numFmtId="0" fontId="186" fillId="0" borderId="20" xfId="0" applyFont="1" applyFill="1" applyBorder="1" applyAlignment="1">
      <alignment horizontal="justify" vertical="center" wrapText="1"/>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xf>
    <xf numFmtId="0" fontId="30" fillId="0" borderId="20" xfId="0" applyFont="1" applyFill="1" applyBorder="1" applyAlignment="1">
      <alignment vertical="center"/>
    </xf>
    <xf numFmtId="0" fontId="29" fillId="0" borderId="22" xfId="0" applyFont="1" applyFill="1" applyBorder="1" applyAlignment="1">
      <alignment horizontal="center" vertical="center"/>
    </xf>
    <xf numFmtId="0" fontId="28" fillId="0" borderId="23" xfId="0" applyFont="1" applyFill="1" applyBorder="1" applyAlignment="1">
      <alignment/>
    </xf>
    <xf numFmtId="0" fontId="28" fillId="0" borderId="24" xfId="0" applyFont="1" applyFill="1" applyBorder="1" applyAlignment="1">
      <alignment/>
    </xf>
    <xf numFmtId="41" fontId="186" fillId="0" borderId="0" xfId="0" applyNumberFormat="1" applyFont="1" applyFill="1" applyBorder="1" applyAlignment="1">
      <alignment vertical="center" wrapText="1"/>
    </xf>
    <xf numFmtId="0" fontId="29" fillId="0" borderId="0" xfId="0" applyFont="1" applyFill="1" applyBorder="1" applyAlignment="1">
      <alignment horizontal="center" vertical="center"/>
    </xf>
    <xf numFmtId="41" fontId="190" fillId="0" borderId="0" xfId="0" applyNumberFormat="1" applyFont="1" applyFill="1" applyBorder="1" applyAlignment="1">
      <alignment horizontal="center" vertical="center" wrapText="1"/>
    </xf>
    <xf numFmtId="0" fontId="186" fillId="0" borderId="0" xfId="0" applyFont="1" applyFill="1" applyAlignment="1">
      <alignment horizontal="justify" vertical="top" wrapText="1"/>
    </xf>
    <xf numFmtId="0" fontId="186" fillId="0" borderId="0" xfId="0" applyFont="1" applyFill="1" applyAlignment="1">
      <alignment vertical="top" wrapText="1"/>
    </xf>
    <xf numFmtId="0" fontId="30" fillId="0" borderId="0" xfId="0" applyFont="1" applyFill="1" applyBorder="1" applyAlignment="1">
      <alignment/>
    </xf>
    <xf numFmtId="0" fontId="28" fillId="0" borderId="0" xfId="0" applyFont="1" applyFill="1" applyBorder="1" applyAlignment="1">
      <alignment/>
    </xf>
    <xf numFmtId="0" fontId="28" fillId="0" borderId="19" xfId="0" applyFont="1" applyFill="1" applyBorder="1" applyAlignment="1">
      <alignment vertical="center"/>
    </xf>
    <xf numFmtId="0" fontId="30" fillId="0" borderId="19" xfId="0" applyFont="1" applyFill="1" applyBorder="1" applyAlignment="1">
      <alignment vertical="center"/>
    </xf>
    <xf numFmtId="0" fontId="28" fillId="0" borderId="20" xfId="0" applyFont="1" applyFill="1" applyBorder="1" applyAlignment="1">
      <alignment horizontal="left" vertical="center"/>
    </xf>
    <xf numFmtId="0" fontId="30" fillId="0" borderId="20" xfId="0" applyFont="1" applyFill="1" applyBorder="1" applyAlignment="1">
      <alignment horizontal="left" vertical="center"/>
    </xf>
    <xf numFmtId="0" fontId="28" fillId="0" borderId="21" xfId="0" applyFont="1" applyFill="1" applyBorder="1" applyAlignment="1">
      <alignment horizontal="left" vertical="center"/>
    </xf>
    <xf numFmtId="0" fontId="190" fillId="0" borderId="20" xfId="0" applyFont="1" applyFill="1" applyBorder="1" applyAlignment="1">
      <alignment horizontal="left" vertical="center" wrapText="1"/>
    </xf>
    <xf numFmtId="0" fontId="30" fillId="0" borderId="21" xfId="0" applyFont="1" applyFill="1" applyBorder="1" applyAlignment="1">
      <alignment horizontal="left" vertical="center"/>
    </xf>
    <xf numFmtId="0" fontId="29" fillId="0" borderId="21" xfId="0" applyFont="1" applyFill="1" applyBorder="1" applyAlignment="1">
      <alignment horizontal="left" vertical="center"/>
    </xf>
    <xf numFmtId="0" fontId="190" fillId="0" borderId="20" xfId="0" applyFont="1" applyFill="1" applyBorder="1" applyAlignment="1">
      <alignment horizontal="center" vertical="center" wrapText="1"/>
    </xf>
    <xf numFmtId="0" fontId="28" fillId="0" borderId="21" xfId="0" applyFont="1" applyFill="1" applyBorder="1" applyAlignment="1">
      <alignment vertical="center"/>
    </xf>
    <xf numFmtId="41" fontId="186" fillId="0" borderId="20" xfId="0" applyNumberFormat="1" applyFont="1" applyFill="1" applyBorder="1" applyAlignment="1">
      <alignment horizontal="left" vertical="center" wrapText="1"/>
    </xf>
    <xf numFmtId="0" fontId="186" fillId="0" borderId="0" xfId="0" applyFont="1" applyFill="1" applyAlignment="1">
      <alignment vertical="top"/>
    </xf>
    <xf numFmtId="0" fontId="186" fillId="0" borderId="0" xfId="0" applyFont="1" applyFill="1" applyAlignment="1">
      <alignment horizontal="justify" vertical="center" wrapText="1"/>
    </xf>
    <xf numFmtId="0" fontId="190" fillId="0" borderId="0" xfId="0" applyFont="1" applyFill="1" applyBorder="1" applyAlignment="1">
      <alignment horizontal="center" vertical="top" wrapText="1"/>
    </xf>
    <xf numFmtId="41" fontId="190" fillId="0" borderId="0" xfId="0" applyNumberFormat="1" applyFont="1" applyFill="1" applyBorder="1" applyAlignment="1">
      <alignment horizontal="center" vertical="top" wrapText="1"/>
    </xf>
    <xf numFmtId="0" fontId="191" fillId="0" borderId="0" xfId="0" applyFont="1" applyFill="1" applyBorder="1" applyAlignment="1">
      <alignment vertical="top"/>
    </xf>
    <xf numFmtId="0" fontId="28" fillId="0" borderId="21" xfId="0" applyFont="1" applyFill="1" applyBorder="1" applyAlignment="1">
      <alignment/>
    </xf>
    <xf numFmtId="0" fontId="186" fillId="0" borderId="0" xfId="0" applyFont="1" applyFill="1" applyBorder="1" applyAlignment="1" quotePrefix="1">
      <alignment vertical="top" wrapText="1"/>
    </xf>
    <xf numFmtId="0" fontId="190" fillId="0" borderId="19" xfId="0" applyFont="1" applyFill="1" applyBorder="1" applyAlignment="1">
      <alignment horizontal="center" vertical="center" wrapText="1"/>
    </xf>
    <xf numFmtId="0" fontId="30" fillId="0" borderId="21" xfId="0" applyFont="1" applyFill="1" applyBorder="1" applyAlignment="1">
      <alignment horizontal="center" vertical="center"/>
    </xf>
    <xf numFmtId="0" fontId="186" fillId="0" borderId="0" xfId="0" applyFont="1" applyFill="1" applyBorder="1" applyAlignment="1">
      <alignment horizontal="center" vertical="top" wrapText="1"/>
    </xf>
    <xf numFmtId="0" fontId="186" fillId="0" borderId="0" xfId="0" applyFont="1" applyFill="1" applyBorder="1" applyAlignment="1">
      <alignment vertical="center" wrapText="1"/>
    </xf>
    <xf numFmtId="0" fontId="186" fillId="0" borderId="0" xfId="0" applyFont="1" applyFill="1" applyBorder="1" applyAlignment="1" quotePrefix="1">
      <alignment vertical="center" wrapText="1"/>
    </xf>
    <xf numFmtId="0" fontId="191" fillId="0" borderId="0" xfId="0" applyFont="1" applyFill="1" applyBorder="1" applyAlignment="1">
      <alignment horizontal="center" vertical="center"/>
    </xf>
    <xf numFmtId="0" fontId="191" fillId="0" borderId="0" xfId="0" applyFont="1" applyFill="1" applyBorder="1" applyAlignment="1">
      <alignment vertical="center"/>
    </xf>
    <xf numFmtId="0" fontId="186" fillId="0" borderId="0" xfId="0" applyFont="1" applyFill="1" applyBorder="1" applyAlignment="1">
      <alignment vertical="top"/>
    </xf>
    <xf numFmtId="0" fontId="192" fillId="0" borderId="0" xfId="0" applyFont="1" applyFill="1" applyBorder="1" applyAlignment="1">
      <alignment horizontal="left" vertical="center"/>
    </xf>
    <xf numFmtId="41" fontId="193" fillId="0" borderId="0" xfId="0" applyNumberFormat="1" applyFont="1" applyFill="1" applyBorder="1" applyAlignment="1">
      <alignment horizontal="center" vertical="center" wrapText="1"/>
    </xf>
    <xf numFmtId="0" fontId="193" fillId="0" borderId="0" xfId="0" applyFont="1" applyFill="1" applyBorder="1" applyAlignment="1">
      <alignment horizontal="center" vertical="center" wrapText="1"/>
    </xf>
    <xf numFmtId="171" fontId="193" fillId="0" borderId="0" xfId="70" applyNumberFormat="1" applyFont="1" applyFill="1" applyBorder="1" applyAlignment="1">
      <alignment horizontal="center" vertical="center" wrapText="1"/>
    </xf>
    <xf numFmtId="0" fontId="192" fillId="0" borderId="0" xfId="0" applyFont="1" applyFill="1" applyBorder="1" applyAlignment="1">
      <alignment horizontal="center" vertical="top" wrapText="1"/>
    </xf>
    <xf numFmtId="0" fontId="188" fillId="0" borderId="0" xfId="0" applyFont="1" applyFill="1" applyBorder="1" applyAlignment="1">
      <alignment horizontal="center" vertical="top" wrapText="1"/>
    </xf>
    <xf numFmtId="41" fontId="188" fillId="0" borderId="0" xfId="0" applyNumberFormat="1" applyFont="1" applyFill="1" applyBorder="1" applyAlignment="1">
      <alignment horizontal="center" vertical="top" wrapText="1"/>
    </xf>
    <xf numFmtId="0" fontId="190" fillId="0" borderId="0" xfId="0" applyFont="1" applyFill="1" applyAlignment="1">
      <alignment horizontal="justify" vertical="center" wrapText="1"/>
    </xf>
    <xf numFmtId="0" fontId="194" fillId="0" borderId="0" xfId="0" applyFont="1" applyAlignment="1">
      <alignment/>
    </xf>
    <xf numFmtId="0" fontId="194" fillId="0" borderId="0" xfId="0" applyFont="1" applyAlignment="1">
      <alignment vertical="top"/>
    </xf>
    <xf numFmtId="0" fontId="194" fillId="0" borderId="0" xfId="0" applyFont="1" applyAlignment="1">
      <alignment vertical="center"/>
    </xf>
    <xf numFmtId="0" fontId="0" fillId="0" borderId="0" xfId="0" applyAlignment="1">
      <alignment vertical="center"/>
    </xf>
    <xf numFmtId="0" fontId="191" fillId="0" borderId="0" xfId="0" applyFont="1" applyFill="1" applyBorder="1" applyAlignment="1">
      <alignment vertical="top" wrapText="1"/>
    </xf>
    <xf numFmtId="0" fontId="184" fillId="0" borderId="0" xfId="0" applyFont="1" applyAlignment="1">
      <alignment horizontal="center" vertical="top"/>
    </xf>
    <xf numFmtId="0" fontId="195" fillId="0" borderId="0" xfId="0" applyFont="1" applyFill="1" applyBorder="1" applyAlignment="1">
      <alignment horizontal="center" vertical="top" wrapText="1"/>
    </xf>
    <xf numFmtId="0" fontId="195" fillId="0" borderId="0" xfId="0" applyFont="1" applyFill="1" applyAlignment="1">
      <alignment horizontal="center" vertical="top" wrapText="1"/>
    </xf>
    <xf numFmtId="0" fontId="195" fillId="0" borderId="0" xfId="0" applyFont="1" applyFill="1" applyAlignment="1">
      <alignment vertical="top" wrapText="1"/>
    </xf>
    <xf numFmtId="0" fontId="44" fillId="0" borderId="0" xfId="0" applyFont="1" applyFill="1" applyBorder="1" applyAlignment="1">
      <alignment horizontal="center" vertical="top" wrapText="1"/>
    </xf>
    <xf numFmtId="170" fontId="196" fillId="0" borderId="0" xfId="69" applyNumberFormat="1" applyFont="1" applyFill="1" applyBorder="1" applyAlignment="1">
      <alignment horizontal="center" vertical="center" wrapText="1"/>
    </xf>
    <xf numFmtId="170" fontId="194" fillId="0" borderId="0" xfId="69" applyNumberFormat="1" applyFont="1" applyAlignment="1">
      <alignment vertical="center"/>
    </xf>
    <xf numFmtId="41" fontId="188" fillId="0" borderId="0" xfId="0" applyNumberFormat="1" applyFont="1" applyFill="1" applyBorder="1" applyAlignment="1">
      <alignment vertical="center" wrapText="1"/>
    </xf>
    <xf numFmtId="41" fontId="192" fillId="0" borderId="0" xfId="0" applyNumberFormat="1" applyFont="1" applyFill="1" applyBorder="1" applyAlignment="1">
      <alignment vertical="center" wrapText="1"/>
    </xf>
    <xf numFmtId="0" fontId="190" fillId="0" borderId="0" xfId="0" applyFont="1" applyFill="1" applyBorder="1" applyAlignment="1" quotePrefix="1">
      <alignment horizontal="center" vertical="top"/>
    </xf>
    <xf numFmtId="0" fontId="191" fillId="0" borderId="20" xfId="0" applyFont="1" applyFill="1" applyBorder="1" applyAlignment="1">
      <alignment horizontal="justify" vertical="center" wrapText="1"/>
    </xf>
    <xf numFmtId="170" fontId="193" fillId="0" borderId="0" xfId="69" applyNumberFormat="1" applyFont="1" applyFill="1" applyBorder="1" applyAlignment="1">
      <alignment horizontal="center" vertical="center" wrapText="1"/>
    </xf>
    <xf numFmtId="41" fontId="186" fillId="0" borderId="0" xfId="0" applyNumberFormat="1" applyFont="1" applyFill="1" applyBorder="1" applyAlignment="1" quotePrefix="1">
      <alignment horizontal="center" vertical="center" wrapText="1"/>
    </xf>
    <xf numFmtId="0" fontId="197" fillId="0" borderId="0" xfId="103" applyFont="1" applyFill="1" applyAlignment="1">
      <alignment horizontal="right" vertical="center"/>
      <protection/>
    </xf>
    <xf numFmtId="0" fontId="198" fillId="0" borderId="0" xfId="0" applyFont="1" applyAlignment="1">
      <alignment/>
    </xf>
    <xf numFmtId="168" fontId="193" fillId="0" borderId="0" xfId="0" applyNumberFormat="1" applyFont="1" applyFill="1" applyBorder="1" applyAlignment="1">
      <alignment horizontal="center" vertical="center" wrapText="1"/>
    </xf>
    <xf numFmtId="0" fontId="190" fillId="0" borderId="0" xfId="0" applyFont="1" applyFill="1" applyBorder="1" applyAlignment="1">
      <alignment horizontal="center" vertical="center" wrapText="1"/>
    </xf>
    <xf numFmtId="43" fontId="190" fillId="0" borderId="0" xfId="0" applyNumberFormat="1" applyFont="1" applyFill="1" applyBorder="1" applyAlignment="1">
      <alignment horizontal="center" vertical="center" wrapText="1"/>
    </xf>
    <xf numFmtId="171" fontId="199" fillId="0" borderId="0" xfId="70" applyNumberFormat="1" applyFont="1" applyAlignment="1">
      <alignment vertical="top"/>
    </xf>
    <xf numFmtId="171" fontId="199" fillId="0" borderId="0" xfId="70" applyNumberFormat="1" applyFont="1" applyAlignment="1">
      <alignment horizontal="left" vertical="top"/>
    </xf>
    <xf numFmtId="171" fontId="194" fillId="0" borderId="0" xfId="70" applyNumberFormat="1" applyFont="1" applyAlignment="1">
      <alignment/>
    </xf>
    <xf numFmtId="171" fontId="185" fillId="0" borderId="0" xfId="70" applyNumberFormat="1" applyFont="1" applyFill="1" applyAlignment="1">
      <alignment horizontal="right" vertical="center"/>
    </xf>
    <xf numFmtId="171" fontId="0" fillId="0" borderId="0" xfId="70" applyNumberFormat="1" applyFont="1" applyAlignment="1">
      <alignment/>
    </xf>
    <xf numFmtId="0" fontId="190" fillId="0" borderId="21" xfId="0" applyFont="1" applyFill="1" applyBorder="1" applyAlignment="1">
      <alignment horizontal="left" vertical="center"/>
    </xf>
    <xf numFmtId="0" fontId="190" fillId="0" borderId="0" xfId="0" applyFont="1" applyFill="1" applyBorder="1" applyAlignment="1">
      <alignment vertical="top"/>
    </xf>
    <xf numFmtId="0" fontId="200" fillId="0" borderId="0" xfId="0" applyFont="1" applyAlignment="1">
      <alignment vertical="top"/>
    </xf>
    <xf numFmtId="0" fontId="200" fillId="0" borderId="0" xfId="0" applyFont="1" applyAlignment="1">
      <alignment/>
    </xf>
    <xf numFmtId="0" fontId="201" fillId="0" borderId="0" xfId="0" applyFont="1" applyAlignment="1" quotePrefix="1">
      <alignment vertical="top"/>
    </xf>
    <xf numFmtId="0" fontId="202" fillId="0" borderId="0" xfId="0" applyFont="1" applyFill="1" applyAlignment="1">
      <alignment horizontal="center" vertical="top" wrapText="1"/>
    </xf>
    <xf numFmtId="0" fontId="192" fillId="0" borderId="25" xfId="0" applyFont="1" applyFill="1" applyBorder="1" applyAlignment="1">
      <alignment vertical="center" wrapText="1"/>
    </xf>
    <xf numFmtId="0" fontId="188" fillId="0" borderId="25" xfId="0" applyFont="1" applyFill="1" applyBorder="1" applyAlignment="1">
      <alignment vertical="top" wrapText="1"/>
    </xf>
    <xf numFmtId="0" fontId="190" fillId="0" borderId="0" xfId="0" applyFont="1" applyFill="1" applyBorder="1" applyAlignment="1">
      <alignment horizontal="center" vertical="top"/>
    </xf>
    <xf numFmtId="0" fontId="190" fillId="0" borderId="0" xfId="0" applyFont="1" applyFill="1" applyBorder="1" applyAlignment="1">
      <alignment horizontal="center" vertical="center"/>
    </xf>
    <xf numFmtId="171" fontId="192" fillId="0" borderId="0" xfId="70" applyNumberFormat="1" applyFont="1" applyFill="1" applyBorder="1" applyAlignment="1">
      <alignment horizontal="center" vertical="center" wrapText="1"/>
    </xf>
    <xf numFmtId="0" fontId="195" fillId="0" borderId="0" xfId="0" applyFont="1" applyFill="1" applyAlignment="1">
      <alignment horizontal="left" vertical="top" wrapText="1"/>
    </xf>
    <xf numFmtId="0" fontId="190" fillId="0" borderId="0" xfId="0" applyFont="1" applyFill="1" applyAlignment="1">
      <alignment vertical="top"/>
    </xf>
    <xf numFmtId="0" fontId="201" fillId="0" borderId="0" xfId="0" applyFont="1" applyAlignment="1">
      <alignment vertical="top"/>
    </xf>
    <xf numFmtId="0" fontId="28" fillId="0" borderId="22" xfId="0" applyFont="1" applyFill="1" applyBorder="1" applyAlignment="1">
      <alignment horizontal="center" vertical="center"/>
    </xf>
    <xf numFmtId="0" fontId="28" fillId="0" borderId="20" xfId="0" applyFont="1" applyFill="1" applyBorder="1" applyAlignment="1">
      <alignment horizontal="center" vertical="center"/>
    </xf>
    <xf numFmtId="171" fontId="0" fillId="0" borderId="0" xfId="70" applyNumberFormat="1" applyFont="1" applyAlignment="1">
      <alignment horizontal="center"/>
    </xf>
    <xf numFmtId="0" fontId="200" fillId="0" borderId="0" xfId="0" applyFont="1" applyAlignment="1">
      <alignment horizontal="justify" vertical="top" wrapText="1"/>
    </xf>
    <xf numFmtId="0" fontId="186" fillId="0" borderId="0" xfId="0" applyFont="1" applyBorder="1" applyAlignment="1">
      <alignment vertical="top" wrapText="1"/>
    </xf>
    <xf numFmtId="0" fontId="200" fillId="0" borderId="0" xfId="0" applyFont="1" applyAlignment="1">
      <alignment/>
    </xf>
    <xf numFmtId="0" fontId="203" fillId="0" borderId="0" xfId="0" applyFont="1" applyFill="1" applyBorder="1" applyAlignment="1">
      <alignment horizontal="center" vertical="center"/>
    </xf>
    <xf numFmtId="0" fontId="55" fillId="0" borderId="0" xfId="0" applyFont="1" applyFill="1" applyBorder="1" applyAlignment="1">
      <alignment horizontal="center" vertical="center" wrapText="1" readingOrder="1"/>
    </xf>
    <xf numFmtId="0" fontId="200" fillId="0" borderId="0" xfId="0" applyFont="1" applyAlignment="1">
      <alignment vertical="center"/>
    </xf>
    <xf numFmtId="0" fontId="193" fillId="0" borderId="0" xfId="0" applyFont="1" applyFill="1" applyBorder="1" applyAlignment="1">
      <alignment horizontal="center" vertical="center"/>
    </xf>
    <xf numFmtId="170" fontId="190" fillId="0" borderId="0" xfId="69" applyNumberFormat="1" applyFont="1" applyFill="1" applyBorder="1" applyAlignment="1">
      <alignment horizontal="center" vertical="center" wrapText="1"/>
    </xf>
    <xf numFmtId="0" fontId="204" fillId="0" borderId="0" xfId="0" applyFont="1" applyFill="1" applyBorder="1" applyAlignment="1">
      <alignment horizontal="center"/>
    </xf>
    <xf numFmtId="0" fontId="196" fillId="0" borderId="0" xfId="0" applyFont="1" applyFill="1" applyBorder="1" applyAlignment="1">
      <alignment horizontal="left" vertical="center"/>
    </xf>
    <xf numFmtId="0" fontId="200" fillId="0" borderId="0" xfId="0" applyFont="1" applyFill="1" applyBorder="1" applyAlignment="1">
      <alignment vertical="top"/>
    </xf>
    <xf numFmtId="0" fontId="201" fillId="0" borderId="20" xfId="0" applyFont="1" applyFill="1" applyBorder="1" applyAlignment="1">
      <alignment vertical="center"/>
    </xf>
    <xf numFmtId="0" fontId="201" fillId="0" borderId="19" xfId="0" applyFont="1" applyFill="1" applyBorder="1" applyAlignment="1">
      <alignment vertical="center"/>
    </xf>
    <xf numFmtId="0" fontId="205" fillId="0" borderId="20" xfId="0" applyFont="1" applyFill="1" applyBorder="1" applyAlignment="1">
      <alignment vertical="center"/>
    </xf>
    <xf numFmtId="0" fontId="205" fillId="0" borderId="19" xfId="0" applyFont="1" applyFill="1" applyBorder="1" applyAlignment="1">
      <alignment vertical="center"/>
    </xf>
    <xf numFmtId="0" fontId="200" fillId="0" borderId="20" xfId="0" applyFont="1" applyFill="1" applyBorder="1" applyAlignment="1">
      <alignment vertical="center"/>
    </xf>
    <xf numFmtId="0" fontId="200" fillId="0" borderId="19" xfId="0" applyFont="1" applyFill="1" applyBorder="1" applyAlignment="1">
      <alignment vertical="center"/>
    </xf>
    <xf numFmtId="0" fontId="200" fillId="0" borderId="21" xfId="0" applyFont="1" applyFill="1" applyBorder="1" applyAlignment="1">
      <alignment horizontal="center" vertical="center"/>
    </xf>
    <xf numFmtId="0" fontId="200" fillId="0" borderId="20" xfId="0" applyFont="1" applyFill="1" applyBorder="1" applyAlignment="1">
      <alignment horizontal="center" vertical="center"/>
    </xf>
    <xf numFmtId="0" fontId="200" fillId="0" borderId="20" xfId="0" applyFont="1" applyFill="1" applyBorder="1" applyAlignment="1">
      <alignment vertical="top"/>
    </xf>
    <xf numFmtId="0" fontId="200" fillId="0" borderId="22" xfId="0" applyFont="1" applyFill="1" applyBorder="1" applyAlignment="1">
      <alignment horizontal="center" vertical="center"/>
    </xf>
    <xf numFmtId="0" fontId="200" fillId="0" borderId="0" xfId="0" applyFont="1" applyFill="1" applyAlignment="1">
      <alignment vertical="top"/>
    </xf>
    <xf numFmtId="0" fontId="186" fillId="0" borderId="0" xfId="0" applyFont="1" applyFill="1" applyBorder="1" applyAlignment="1">
      <alignment vertical="center"/>
    </xf>
    <xf numFmtId="0" fontId="200" fillId="0" borderId="0" xfId="0" applyFont="1" applyFill="1" applyBorder="1" applyAlignment="1">
      <alignment vertical="center"/>
    </xf>
    <xf numFmtId="0" fontId="200" fillId="0" borderId="0" xfId="0" applyFont="1" applyFill="1" applyBorder="1" applyAlignment="1">
      <alignment vertical="center" wrapText="1"/>
    </xf>
    <xf numFmtId="0" fontId="201" fillId="0" borderId="0" xfId="0" applyFont="1" applyFill="1" applyBorder="1" applyAlignment="1">
      <alignment vertical="center" wrapText="1"/>
    </xf>
    <xf numFmtId="0" fontId="201" fillId="0" borderId="0" xfId="0" applyFont="1" applyBorder="1" applyAlignment="1">
      <alignment/>
    </xf>
    <xf numFmtId="0" fontId="25" fillId="0" borderId="0" xfId="0" applyFont="1" applyAlignment="1">
      <alignment/>
    </xf>
    <xf numFmtId="0" fontId="206" fillId="0" borderId="0" xfId="0" applyFont="1" applyBorder="1" applyAlignment="1">
      <alignment horizontal="justify" vertical="center"/>
    </xf>
    <xf numFmtId="0" fontId="59" fillId="0" borderId="0" xfId="107" applyFont="1" applyBorder="1">
      <alignment/>
      <protection/>
    </xf>
    <xf numFmtId="0" fontId="207" fillId="0" borderId="0" xfId="0" applyFont="1" applyAlignment="1">
      <alignment/>
    </xf>
    <xf numFmtId="0" fontId="53" fillId="0" borderId="0" xfId="0" applyFont="1" applyAlignment="1">
      <alignment/>
    </xf>
    <xf numFmtId="0" fontId="208" fillId="0" borderId="0" xfId="0" applyFont="1" applyAlignment="1">
      <alignment/>
    </xf>
    <xf numFmtId="171" fontId="207" fillId="0" borderId="0" xfId="70" applyNumberFormat="1" applyFont="1" applyAlignment="1">
      <alignment/>
    </xf>
    <xf numFmtId="0" fontId="209" fillId="0" borderId="0" xfId="0" applyFont="1" applyBorder="1" applyAlignment="1">
      <alignment/>
    </xf>
    <xf numFmtId="0" fontId="210" fillId="0" borderId="0" xfId="0" applyFont="1" applyAlignment="1">
      <alignment/>
    </xf>
    <xf numFmtId="173" fontId="207" fillId="0" borderId="0" xfId="0" applyNumberFormat="1" applyFont="1" applyAlignment="1">
      <alignment/>
    </xf>
    <xf numFmtId="0" fontId="211" fillId="0" borderId="0" xfId="0" applyFont="1" applyAlignment="1">
      <alignment/>
    </xf>
    <xf numFmtId="173" fontId="209" fillId="55" borderId="22" xfId="0" applyNumberFormat="1" applyFont="1" applyFill="1" applyBorder="1" applyAlignment="1">
      <alignment horizontal="center" vertical="center"/>
    </xf>
    <xf numFmtId="173" fontId="209" fillId="55" borderId="22" xfId="0" applyNumberFormat="1" applyFont="1" applyFill="1" applyBorder="1" applyAlignment="1">
      <alignment horizontal="center" vertical="center" wrapText="1"/>
    </xf>
    <xf numFmtId="0" fontId="211" fillId="0" borderId="21" xfId="0" applyFont="1" applyFill="1" applyBorder="1" applyAlignment="1">
      <alignment/>
    </xf>
    <xf numFmtId="0" fontId="209" fillId="0" borderId="19" xfId="0" applyFont="1" applyBorder="1" applyAlignment="1">
      <alignment/>
    </xf>
    <xf numFmtId="173" fontId="54" fillId="0" borderId="22" xfId="70" applyNumberFormat="1" applyFont="1" applyFill="1" applyBorder="1" applyAlignment="1">
      <alignment/>
    </xf>
    <xf numFmtId="0" fontId="210" fillId="0" borderId="21" xfId="0" applyFont="1" applyFill="1" applyBorder="1" applyAlignment="1">
      <alignment/>
    </xf>
    <xf numFmtId="0" fontId="210" fillId="0" borderId="19" xfId="0" applyFont="1" applyBorder="1" applyAlignment="1">
      <alignment/>
    </xf>
    <xf numFmtId="173" fontId="212" fillId="0" borderId="22" xfId="0" applyNumberFormat="1" applyFont="1" applyBorder="1" applyAlignment="1">
      <alignment/>
    </xf>
    <xf numFmtId="173" fontId="212" fillId="0" borderId="22" xfId="0" applyNumberFormat="1" applyFont="1" applyFill="1" applyBorder="1" applyAlignment="1">
      <alignment/>
    </xf>
    <xf numFmtId="0" fontId="211" fillId="0" borderId="21" xfId="0" applyFont="1" applyBorder="1" applyAlignment="1">
      <alignment/>
    </xf>
    <xf numFmtId="173" fontId="54" fillId="0" borderId="22" xfId="0" applyNumberFormat="1" applyFont="1" applyFill="1" applyBorder="1" applyAlignment="1">
      <alignment/>
    </xf>
    <xf numFmtId="0" fontId="210" fillId="0" borderId="21" xfId="0" applyFont="1" applyFill="1" applyBorder="1" applyAlignment="1">
      <alignment/>
    </xf>
    <xf numFmtId="0" fontId="207" fillId="0" borderId="0" xfId="0" applyFont="1" applyAlignment="1">
      <alignment vertical="center"/>
    </xf>
    <xf numFmtId="171" fontId="209" fillId="55" borderId="22" xfId="70" applyNumberFormat="1" applyFont="1" applyFill="1" applyBorder="1" applyAlignment="1">
      <alignment horizontal="center" vertical="center" wrapText="1"/>
    </xf>
    <xf numFmtId="41" fontId="209" fillId="55" borderId="22" xfId="70" applyFont="1" applyFill="1" applyBorder="1" applyAlignment="1">
      <alignment horizontal="center" vertical="center" wrapText="1"/>
    </xf>
    <xf numFmtId="41" fontId="209" fillId="55" borderId="22" xfId="70" applyFont="1" applyFill="1" applyBorder="1" applyAlignment="1">
      <alignment horizontal="center" vertical="center" wrapText="1"/>
    </xf>
    <xf numFmtId="0" fontId="211" fillId="0" borderId="20" xfId="0" applyFont="1" applyFill="1" applyBorder="1" applyAlignment="1">
      <alignment/>
    </xf>
    <xf numFmtId="173" fontId="54" fillId="6" borderId="22" xfId="70" applyNumberFormat="1" applyFont="1" applyFill="1" applyBorder="1" applyAlignment="1">
      <alignment/>
    </xf>
    <xf numFmtId="171" fontId="209" fillId="6" borderId="22" xfId="70" applyNumberFormat="1" applyFont="1" applyFill="1" applyBorder="1" applyAlignment="1">
      <alignment/>
    </xf>
    <xf numFmtId="171" fontId="209" fillId="6" borderId="22" xfId="70" applyNumberFormat="1" applyFont="1" applyFill="1" applyBorder="1" applyAlignment="1">
      <alignment/>
    </xf>
    <xf numFmtId="171" fontId="209" fillId="2" borderId="22" xfId="70" applyNumberFormat="1" applyFont="1" applyFill="1" applyBorder="1" applyAlignment="1">
      <alignment/>
    </xf>
    <xf numFmtId="43" fontId="209" fillId="8" borderId="22" xfId="69" applyFont="1" applyFill="1" applyBorder="1" applyAlignment="1">
      <alignment/>
    </xf>
    <xf numFmtId="173" fontId="209" fillId="8" borderId="22" xfId="0" applyNumberFormat="1" applyFont="1" applyFill="1" applyBorder="1" applyAlignment="1">
      <alignment/>
    </xf>
    <xf numFmtId="0" fontId="209" fillId="0" borderId="0" xfId="0" applyFont="1" applyAlignment="1">
      <alignment/>
    </xf>
    <xf numFmtId="0" fontId="209" fillId="0" borderId="21" xfId="0" applyFont="1" applyBorder="1" applyAlignment="1">
      <alignment/>
    </xf>
    <xf numFmtId="0" fontId="64" fillId="0" borderId="20" xfId="0" applyFont="1" applyFill="1" applyBorder="1" applyAlignment="1">
      <alignment/>
    </xf>
    <xf numFmtId="173" fontId="54" fillId="6" borderId="22" xfId="0" applyNumberFormat="1" applyFont="1" applyFill="1" applyBorder="1" applyAlignment="1">
      <alignment/>
    </xf>
    <xf numFmtId="0" fontId="65" fillId="0" borderId="20" xfId="0" applyFont="1" applyFill="1" applyBorder="1" applyAlignment="1">
      <alignment/>
    </xf>
    <xf numFmtId="173" fontId="212" fillId="6" borderId="22" xfId="0" applyNumberFormat="1" applyFont="1" applyFill="1" applyBorder="1" applyAlignment="1">
      <alignment/>
    </xf>
    <xf numFmtId="171" fontId="207" fillId="6" borderId="22" xfId="70" applyNumberFormat="1" applyFont="1" applyFill="1" applyBorder="1" applyAlignment="1">
      <alignment/>
    </xf>
    <xf numFmtId="171" fontId="207" fillId="2" borderId="22" xfId="70" applyNumberFormat="1" applyFont="1" applyFill="1" applyBorder="1" applyAlignment="1">
      <alignment/>
    </xf>
    <xf numFmtId="173" fontId="207" fillId="8" borderId="22" xfId="0" applyNumberFormat="1" applyFont="1" applyFill="1" applyBorder="1" applyAlignment="1">
      <alignment/>
    </xf>
    <xf numFmtId="0" fontId="210" fillId="0" borderId="21" xfId="0" applyFont="1" applyFill="1" applyBorder="1" applyAlignment="1">
      <alignment/>
    </xf>
    <xf numFmtId="0" fontId="65" fillId="0" borderId="20" xfId="0" applyFont="1" applyBorder="1" applyAlignment="1">
      <alignment/>
    </xf>
    <xf numFmtId="171" fontId="207" fillId="0" borderId="0" xfId="70" applyNumberFormat="1" applyFont="1" applyAlignment="1">
      <alignment vertical="top"/>
    </xf>
    <xf numFmtId="0" fontId="207" fillId="0" borderId="0" xfId="0" applyFont="1" applyAlignment="1">
      <alignment vertical="top"/>
    </xf>
    <xf numFmtId="173" fontId="207" fillId="0" borderId="0" xfId="69" applyNumberFormat="1" applyFont="1" applyAlignment="1">
      <alignment vertical="top"/>
    </xf>
    <xf numFmtId="168" fontId="207" fillId="0" borderId="0" xfId="0" applyNumberFormat="1" applyFont="1" applyAlignment="1">
      <alignment vertical="top"/>
    </xf>
    <xf numFmtId="0" fontId="211" fillId="0" borderId="19" xfId="0" applyFont="1" applyFill="1" applyBorder="1" applyAlignment="1">
      <alignment/>
    </xf>
    <xf numFmtId="173" fontId="54" fillId="6" borderId="19" xfId="0" applyNumberFormat="1" applyFont="1" applyFill="1" applyBorder="1" applyAlignment="1">
      <alignment/>
    </xf>
    <xf numFmtId="0" fontId="211" fillId="0" borderId="21" xfId="0" applyFont="1" applyFill="1" applyBorder="1" applyAlignment="1">
      <alignment/>
    </xf>
    <xf numFmtId="0" fontId="211" fillId="0" borderId="19" xfId="0" applyFont="1" applyFill="1" applyBorder="1" applyAlignment="1">
      <alignment/>
    </xf>
    <xf numFmtId="173" fontId="209" fillId="6" borderId="22" xfId="0" applyNumberFormat="1" applyFont="1" applyFill="1" applyBorder="1" applyAlignment="1">
      <alignment/>
    </xf>
    <xf numFmtId="173" fontId="54" fillId="8" borderId="19" xfId="0" applyNumberFormat="1" applyFont="1" applyFill="1" applyBorder="1" applyAlignment="1">
      <alignment/>
    </xf>
    <xf numFmtId="0" fontId="210" fillId="0" borderId="21" xfId="0" applyFont="1" applyBorder="1" applyAlignment="1">
      <alignment/>
    </xf>
    <xf numFmtId="0" fontId="210" fillId="0" borderId="19" xfId="0" applyFont="1" applyBorder="1" applyAlignment="1">
      <alignment wrapText="1"/>
    </xf>
    <xf numFmtId="173" fontId="212" fillId="6" borderId="19" xfId="0" applyNumberFormat="1" applyFont="1" applyFill="1" applyBorder="1" applyAlignment="1">
      <alignment/>
    </xf>
    <xf numFmtId="0" fontId="213" fillId="0" borderId="21" xfId="0" applyFont="1" applyFill="1" applyBorder="1" applyAlignment="1">
      <alignment/>
    </xf>
    <xf numFmtId="0" fontId="65" fillId="0" borderId="19" xfId="0" applyFont="1" applyBorder="1" applyAlignment="1">
      <alignment wrapText="1"/>
    </xf>
    <xf numFmtId="0" fontId="214" fillId="0" borderId="0" xfId="0" applyFont="1" applyAlignment="1">
      <alignment/>
    </xf>
    <xf numFmtId="173" fontId="209" fillId="6" borderId="19" xfId="0" applyNumberFormat="1" applyFont="1" applyFill="1" applyBorder="1" applyAlignment="1">
      <alignment/>
    </xf>
    <xf numFmtId="0" fontId="210" fillId="0" borderId="19" xfId="0" applyFont="1" applyBorder="1" applyAlignment="1">
      <alignment/>
    </xf>
    <xf numFmtId="0" fontId="211" fillId="0" borderId="21" xfId="0" applyFont="1" applyBorder="1" applyAlignment="1">
      <alignment/>
    </xf>
    <xf numFmtId="171" fontId="54" fillId="6" borderId="22" xfId="70" applyNumberFormat="1" applyFont="1" applyFill="1" applyBorder="1" applyAlignment="1">
      <alignment/>
    </xf>
    <xf numFmtId="0" fontId="215" fillId="0" borderId="19" xfId="0" applyFont="1" applyBorder="1" applyAlignment="1">
      <alignment vertical="top" wrapText="1"/>
    </xf>
    <xf numFmtId="173" fontId="212" fillId="6" borderId="19" xfId="0" applyNumberFormat="1" applyFont="1" applyFill="1" applyBorder="1" applyAlignment="1">
      <alignment vertical="top" wrapText="1"/>
    </xf>
    <xf numFmtId="0" fontId="64" fillId="0" borderId="21" xfId="0" applyFont="1" applyBorder="1" applyAlignment="1">
      <alignment/>
    </xf>
    <xf numFmtId="173" fontId="54" fillId="6" borderId="19" xfId="0" applyNumberFormat="1" applyFont="1" applyFill="1" applyBorder="1" applyAlignment="1">
      <alignment vertical="top" wrapText="1"/>
    </xf>
    <xf numFmtId="0" fontId="53" fillId="0" borderId="19" xfId="0" applyFont="1" applyBorder="1" applyAlignment="1">
      <alignment/>
    </xf>
    <xf numFmtId="173" fontId="53" fillId="6" borderId="19" xfId="0" applyNumberFormat="1" applyFont="1" applyFill="1" applyBorder="1" applyAlignment="1">
      <alignment vertical="top" wrapText="1"/>
    </xf>
    <xf numFmtId="171" fontId="53" fillId="6" borderId="22" xfId="70" applyNumberFormat="1" applyFont="1" applyFill="1" applyBorder="1" applyAlignment="1">
      <alignment/>
    </xf>
    <xf numFmtId="171" fontId="53" fillId="2" borderId="22" xfId="70" applyNumberFormat="1" applyFont="1" applyFill="1" applyBorder="1" applyAlignment="1">
      <alignment/>
    </xf>
    <xf numFmtId="0" fontId="54" fillId="0" borderId="0" xfId="0" applyFont="1" applyAlignment="1">
      <alignment/>
    </xf>
    <xf numFmtId="0" fontId="65" fillId="0" borderId="21" xfId="0" applyFont="1" applyFill="1" applyBorder="1" applyAlignment="1">
      <alignment/>
    </xf>
    <xf numFmtId="171" fontId="54" fillId="6" borderId="22" xfId="70" applyNumberFormat="1" applyFont="1" applyFill="1" applyBorder="1" applyAlignment="1">
      <alignment/>
    </xf>
    <xf numFmtId="0" fontId="53" fillId="0" borderId="19" xfId="0" applyFont="1" applyBorder="1" applyAlignment="1">
      <alignment vertical="top"/>
    </xf>
    <xf numFmtId="0" fontId="65" fillId="0" borderId="19" xfId="0" applyFont="1" applyBorder="1" applyAlignment="1">
      <alignment/>
    </xf>
    <xf numFmtId="0" fontId="213" fillId="0" borderId="19" xfId="0" applyFont="1" applyBorder="1" applyAlignment="1" quotePrefix="1">
      <alignment/>
    </xf>
    <xf numFmtId="173" fontId="54" fillId="8" borderId="19" xfId="0" applyNumberFormat="1" applyFont="1" applyFill="1" applyBorder="1" applyAlignment="1">
      <alignment vertical="top" wrapText="1"/>
    </xf>
    <xf numFmtId="173" fontId="209" fillId="6" borderId="19" xfId="0" applyNumberFormat="1" applyFont="1" applyFill="1" applyBorder="1" applyAlignment="1">
      <alignment vertical="top" wrapText="1"/>
    </xf>
    <xf numFmtId="173" fontId="209" fillId="8" borderId="19" xfId="0" applyNumberFormat="1" applyFont="1" applyFill="1" applyBorder="1" applyAlignment="1">
      <alignment vertical="top" wrapText="1"/>
    </xf>
    <xf numFmtId="0" fontId="65" fillId="0" borderId="21" xfId="0" applyFont="1" applyBorder="1" applyAlignment="1">
      <alignment/>
    </xf>
    <xf numFmtId="0" fontId="65" fillId="0" borderId="19" xfId="0" applyFont="1" applyBorder="1" applyAlignment="1" quotePrefix="1">
      <alignment/>
    </xf>
    <xf numFmtId="0" fontId="65" fillId="0" borderId="21" xfId="0" applyFont="1" applyBorder="1" applyAlignment="1" quotePrefix="1">
      <alignment/>
    </xf>
    <xf numFmtId="173" fontId="53" fillId="8" borderId="22" xfId="0" applyNumberFormat="1" applyFont="1" applyFill="1" applyBorder="1" applyAlignment="1">
      <alignment/>
    </xf>
    <xf numFmtId="173" fontId="212" fillId="6" borderId="19" xfId="0" applyNumberFormat="1" applyFont="1" applyFill="1" applyBorder="1" applyAlignment="1">
      <alignment vertical="top" wrapText="1"/>
    </xf>
    <xf numFmtId="171" fontId="207" fillId="6" borderId="22" xfId="70" applyNumberFormat="1" applyFont="1" applyFill="1" applyBorder="1" applyAlignment="1">
      <alignment/>
    </xf>
    <xf numFmtId="173" fontId="207" fillId="8" borderId="22" xfId="0" applyNumberFormat="1" applyFont="1" applyFill="1" applyBorder="1" applyAlignment="1">
      <alignment/>
    </xf>
    <xf numFmtId="0" fontId="65" fillId="0" borderId="19" xfId="0" applyFont="1" applyBorder="1" applyAlignment="1">
      <alignment/>
    </xf>
    <xf numFmtId="0" fontId="54" fillId="0" borderId="21" xfId="0" applyFont="1" applyBorder="1" applyAlignment="1">
      <alignment/>
    </xf>
    <xf numFmtId="0" fontId="64" fillId="0" borderId="19" xfId="0" applyFont="1" applyFill="1" applyBorder="1" applyAlignment="1">
      <alignment/>
    </xf>
    <xf numFmtId="173" fontId="54" fillId="6" borderId="22" xfId="0" applyNumberFormat="1" applyFont="1" applyFill="1" applyBorder="1" applyAlignment="1">
      <alignment vertical="top" wrapText="1"/>
    </xf>
    <xf numFmtId="171" fontId="54" fillId="2" borderId="22" xfId="70" applyNumberFormat="1" applyFont="1" applyFill="1" applyBorder="1" applyAlignment="1">
      <alignment/>
    </xf>
    <xf numFmtId="0" fontId="54" fillId="0" borderId="21" xfId="0" applyFont="1" applyBorder="1" applyAlignment="1">
      <alignment vertical="center"/>
    </xf>
    <xf numFmtId="0" fontId="64" fillId="0" borderId="20" xfId="0" applyFont="1" applyFill="1" applyBorder="1" applyAlignment="1">
      <alignment vertical="center"/>
    </xf>
    <xf numFmtId="173" fontId="54" fillId="6" borderId="19" xfId="0" applyNumberFormat="1" applyFont="1" applyFill="1" applyBorder="1" applyAlignment="1">
      <alignment vertical="center" wrapText="1"/>
    </xf>
    <xf numFmtId="171" fontId="54" fillId="6" borderId="22" xfId="70" applyNumberFormat="1" applyFont="1" applyFill="1" applyBorder="1" applyAlignment="1">
      <alignment vertical="center"/>
    </xf>
    <xf numFmtId="171" fontId="54" fillId="2" borderId="22" xfId="70" applyNumberFormat="1" applyFont="1" applyFill="1" applyBorder="1" applyAlignment="1">
      <alignment vertical="center"/>
    </xf>
    <xf numFmtId="0" fontId="54" fillId="0" borderId="0" xfId="0" applyFont="1" applyAlignment="1">
      <alignment vertical="center"/>
    </xf>
    <xf numFmtId="0" fontId="64" fillId="0" borderId="0" xfId="0" applyFont="1" applyFill="1" applyBorder="1" applyAlignment="1">
      <alignment/>
    </xf>
    <xf numFmtId="173" fontId="216" fillId="6" borderId="0" xfId="0" applyNumberFormat="1" applyFont="1" applyFill="1" applyBorder="1" applyAlignment="1">
      <alignment vertical="top" wrapText="1"/>
    </xf>
    <xf numFmtId="171" fontId="216" fillId="6" borderId="0" xfId="70" applyNumberFormat="1" applyFont="1" applyFill="1" applyBorder="1" applyAlignment="1">
      <alignment/>
    </xf>
    <xf numFmtId="171" fontId="216" fillId="2" borderId="0" xfId="70" applyNumberFormat="1" applyFont="1" applyFill="1" applyBorder="1" applyAlignment="1">
      <alignment/>
    </xf>
    <xf numFmtId="173" fontId="207" fillId="8" borderId="0" xfId="0" applyNumberFormat="1" applyFont="1" applyFill="1" applyBorder="1" applyAlignment="1">
      <alignment/>
    </xf>
    <xf numFmtId="0" fontId="54" fillId="0" borderId="22" xfId="0" applyFont="1" applyBorder="1" applyAlignment="1">
      <alignment/>
    </xf>
    <xf numFmtId="0" fontId="54" fillId="0" borderId="22" xfId="0" applyFont="1" applyFill="1" applyBorder="1" applyAlignment="1">
      <alignment/>
    </xf>
    <xf numFmtId="173" fontId="54" fillId="6" borderId="22" xfId="0" applyNumberFormat="1" applyFont="1" applyFill="1" applyBorder="1" applyAlignment="1">
      <alignment vertical="top" wrapText="1"/>
    </xf>
    <xf numFmtId="171" fontId="54" fillId="2" borderId="22" xfId="70" applyNumberFormat="1" applyFont="1" applyFill="1" applyBorder="1" applyAlignment="1">
      <alignment/>
    </xf>
    <xf numFmtId="173" fontId="53" fillId="8" borderId="22" xfId="0" applyNumberFormat="1" applyFont="1" applyFill="1" applyBorder="1" applyAlignment="1">
      <alignment/>
    </xf>
    <xf numFmtId="0" fontId="209" fillId="0" borderId="22" xfId="0" applyFont="1" applyBorder="1" applyAlignment="1">
      <alignment/>
    </xf>
    <xf numFmtId="0" fontId="65" fillId="0" borderId="22" xfId="0" applyFont="1" applyFill="1" applyBorder="1" applyAlignment="1" quotePrefix="1">
      <alignment/>
    </xf>
    <xf numFmtId="0" fontId="64" fillId="0" borderId="22" xfId="0" applyFont="1" applyFill="1" applyBorder="1" applyAlignment="1">
      <alignment/>
    </xf>
    <xf numFmtId="173" fontId="216" fillId="6" borderId="22" xfId="0" applyNumberFormat="1" applyFont="1" applyFill="1" applyBorder="1" applyAlignment="1">
      <alignment vertical="top" wrapText="1"/>
    </xf>
    <xf numFmtId="171" fontId="216" fillId="6" borderId="22" xfId="70" applyNumberFormat="1" applyFont="1" applyFill="1" applyBorder="1" applyAlignment="1">
      <alignment/>
    </xf>
    <xf numFmtId="0" fontId="54" fillId="0" borderId="26" xfId="0" applyFont="1" applyBorder="1" applyAlignment="1">
      <alignment/>
    </xf>
    <xf numFmtId="0" fontId="54" fillId="0" borderId="26" xfId="0" applyFont="1" applyFill="1" applyBorder="1" applyAlignment="1">
      <alignment/>
    </xf>
    <xf numFmtId="173" fontId="54" fillId="6" borderId="27" xfId="0" applyNumberFormat="1" applyFont="1" applyFill="1" applyBorder="1" applyAlignment="1">
      <alignment vertical="top" wrapText="1"/>
    </xf>
    <xf numFmtId="171" fontId="54" fillId="6" borderId="26" xfId="70" applyNumberFormat="1" applyFont="1" applyFill="1" applyBorder="1" applyAlignment="1">
      <alignment/>
    </xf>
    <xf numFmtId="0" fontId="210" fillId="0" borderId="0" xfId="0" applyFont="1" applyFill="1" applyBorder="1" applyAlignment="1">
      <alignment/>
    </xf>
    <xf numFmtId="0" fontId="217" fillId="0" borderId="0" xfId="0" applyFont="1" applyFill="1" applyBorder="1" applyAlignment="1" quotePrefix="1">
      <alignment/>
    </xf>
    <xf numFmtId="173" fontId="212" fillId="0" borderId="0" xfId="0" applyNumberFormat="1" applyFont="1" applyFill="1" applyBorder="1" applyAlignment="1">
      <alignment/>
    </xf>
    <xf numFmtId="0" fontId="209" fillId="55" borderId="22" xfId="70" applyNumberFormat="1" applyFont="1" applyFill="1" applyBorder="1" applyAlignment="1">
      <alignment horizontal="center"/>
    </xf>
    <xf numFmtId="173" fontId="209" fillId="0" borderId="0" xfId="69" applyNumberFormat="1" applyFont="1" applyAlignment="1">
      <alignment vertical="top"/>
    </xf>
    <xf numFmtId="173" fontId="209" fillId="0" borderId="0" xfId="0" applyNumberFormat="1" applyFont="1" applyAlignment="1">
      <alignment/>
    </xf>
    <xf numFmtId="173" fontId="209" fillId="55" borderId="22" xfId="0" applyNumberFormat="1" applyFont="1" applyFill="1" applyBorder="1" applyAlignment="1">
      <alignment horizontal="center"/>
    </xf>
    <xf numFmtId="173" fontId="209" fillId="55" borderId="22" xfId="0" applyNumberFormat="1" applyFont="1" applyFill="1" applyBorder="1" applyAlignment="1">
      <alignment horizontal="center" wrapText="1"/>
    </xf>
    <xf numFmtId="171" fontId="209" fillId="55" borderId="22" xfId="70" applyNumberFormat="1" applyFont="1" applyFill="1" applyBorder="1" applyAlignment="1">
      <alignment horizontal="center"/>
    </xf>
    <xf numFmtId="0" fontId="210" fillId="0" borderId="22" xfId="0" applyFont="1" applyFill="1" applyBorder="1" applyAlignment="1">
      <alignment/>
    </xf>
    <xf numFmtId="0" fontId="210" fillId="0" borderId="22" xfId="0" applyFont="1" applyBorder="1" applyAlignment="1">
      <alignment horizontal="left" indent="1"/>
    </xf>
    <xf numFmtId="173" fontId="218" fillId="0" borderId="22" xfId="0" applyNumberFormat="1" applyFont="1" applyBorder="1" applyAlignment="1">
      <alignment horizontal="right"/>
    </xf>
    <xf numFmtId="173" fontId="207" fillId="0" borderId="22" xfId="0" applyNumberFormat="1" applyFont="1" applyBorder="1" applyAlignment="1">
      <alignment horizontal="right" wrapText="1"/>
    </xf>
    <xf numFmtId="171" fontId="207" fillId="0" borderId="22" xfId="70" applyNumberFormat="1" applyFont="1" applyBorder="1" applyAlignment="1">
      <alignment horizontal="right"/>
    </xf>
    <xf numFmtId="173" fontId="207" fillId="0" borderId="0" xfId="0" applyNumberFormat="1" applyFont="1" applyBorder="1" applyAlignment="1">
      <alignment horizontal="right"/>
    </xf>
    <xf numFmtId="173" fontId="207" fillId="0" borderId="22" xfId="0" applyNumberFormat="1" applyFont="1" applyBorder="1" applyAlignment="1">
      <alignment horizontal="right" vertical="top"/>
    </xf>
    <xf numFmtId="171" fontId="207" fillId="0" borderId="22" xfId="70" applyNumberFormat="1" applyFont="1" applyBorder="1" applyAlignment="1">
      <alignment horizontal="right" vertical="top"/>
    </xf>
    <xf numFmtId="173" fontId="207" fillId="0" borderId="0" xfId="0" applyNumberFormat="1" applyFont="1" applyBorder="1" applyAlignment="1">
      <alignment horizontal="right" vertical="top"/>
    </xf>
    <xf numFmtId="0" fontId="211" fillId="0" borderId="22" xfId="0" applyFont="1" applyBorder="1" applyAlignment="1">
      <alignment/>
    </xf>
    <xf numFmtId="173" fontId="209" fillId="0" borderId="22" xfId="0" applyNumberFormat="1" applyFont="1" applyBorder="1" applyAlignment="1">
      <alignment horizontal="right" vertical="top"/>
    </xf>
    <xf numFmtId="171" fontId="209" fillId="0" borderId="22" xfId="70" applyNumberFormat="1" applyFont="1" applyBorder="1" applyAlignment="1">
      <alignment horizontal="right" vertical="top"/>
    </xf>
    <xf numFmtId="173" fontId="209" fillId="0" borderId="0" xfId="0" applyNumberFormat="1" applyFont="1" applyBorder="1" applyAlignment="1">
      <alignment horizontal="right" vertical="top"/>
    </xf>
    <xf numFmtId="171" fontId="209" fillId="0" borderId="0" xfId="70" applyNumberFormat="1" applyFont="1" applyAlignment="1">
      <alignment/>
    </xf>
    <xf numFmtId="173" fontId="209" fillId="0" borderId="0" xfId="69" applyNumberFormat="1" applyFont="1" applyAlignment="1">
      <alignment/>
    </xf>
    <xf numFmtId="173" fontId="207" fillId="0" borderId="0" xfId="69" applyNumberFormat="1" applyFont="1" applyAlignment="1">
      <alignment/>
    </xf>
    <xf numFmtId="171" fontId="208" fillId="0" borderId="0" xfId="70" applyNumberFormat="1" applyFont="1" applyAlignment="1">
      <alignment/>
    </xf>
    <xf numFmtId="173" fontId="208" fillId="0" borderId="0" xfId="69" applyNumberFormat="1" applyFont="1" applyAlignment="1">
      <alignment/>
    </xf>
    <xf numFmtId="173" fontId="208" fillId="0" borderId="0" xfId="0" applyNumberFormat="1" applyFont="1" applyAlignment="1">
      <alignment/>
    </xf>
    <xf numFmtId="171" fontId="209" fillId="0" borderId="0" xfId="70" applyNumberFormat="1" applyFont="1" applyAlignment="1">
      <alignment vertical="top"/>
    </xf>
    <xf numFmtId="0" fontId="209" fillId="0" borderId="0" xfId="0" applyFont="1" applyAlignment="1">
      <alignment vertical="top"/>
    </xf>
    <xf numFmtId="173" fontId="209" fillId="0" borderId="0" xfId="0" applyNumberFormat="1" applyFont="1" applyAlignment="1">
      <alignment vertical="top"/>
    </xf>
    <xf numFmtId="173" fontId="207" fillId="0" borderId="0" xfId="0" applyNumberFormat="1" applyFont="1" applyAlignment="1">
      <alignment vertical="top"/>
    </xf>
    <xf numFmtId="41" fontId="207" fillId="0" borderId="0" xfId="70" applyFont="1" applyAlignment="1">
      <alignment vertical="top"/>
    </xf>
    <xf numFmtId="0" fontId="54" fillId="0" borderId="0" xfId="0" applyFont="1" applyFill="1" applyBorder="1" applyAlignment="1">
      <alignment/>
    </xf>
    <xf numFmtId="0" fontId="54" fillId="0" borderId="0" xfId="69" applyNumberFormat="1" applyFont="1" applyFill="1" applyBorder="1" applyAlignment="1">
      <alignment horizontal="center"/>
    </xf>
    <xf numFmtId="39" fontId="54" fillId="0" borderId="0" xfId="0" applyNumberFormat="1" applyFont="1" applyFill="1" applyAlignment="1">
      <alignment/>
    </xf>
    <xf numFmtId="0" fontId="54" fillId="0" borderId="0" xfId="0" applyFont="1" applyFill="1" applyAlignment="1">
      <alignment/>
    </xf>
    <xf numFmtId="171" fontId="54" fillId="56" borderId="0" xfId="70" applyNumberFormat="1" applyFont="1" applyFill="1" applyAlignment="1">
      <alignment/>
    </xf>
    <xf numFmtId="0" fontId="54" fillId="56" borderId="0" xfId="0" applyFont="1" applyFill="1" applyAlignment="1">
      <alignment/>
    </xf>
    <xf numFmtId="0" fontId="64" fillId="0" borderId="0" xfId="0" applyFont="1" applyFill="1" applyBorder="1" applyAlignment="1">
      <alignment vertical="center"/>
    </xf>
    <xf numFmtId="43" fontId="54" fillId="0" borderId="0" xfId="69" applyFont="1" applyFill="1" applyBorder="1" applyAlignment="1">
      <alignment/>
    </xf>
    <xf numFmtId="43" fontId="54" fillId="0" borderId="0" xfId="69" applyFont="1" applyFill="1" applyBorder="1" applyAlignment="1" quotePrefix="1">
      <alignment horizontal="center"/>
    </xf>
    <xf numFmtId="39" fontId="209" fillId="0" borderId="23" xfId="69" applyNumberFormat="1" applyFont="1" applyBorder="1" applyAlignment="1">
      <alignment/>
    </xf>
    <xf numFmtId="171" fontId="54" fillId="56" borderId="28" xfId="70" applyNumberFormat="1" applyFont="1" applyFill="1" applyBorder="1" applyAlignment="1">
      <alignment/>
    </xf>
    <xf numFmtId="0" fontId="54" fillId="56" borderId="28" xfId="0" applyFont="1" applyFill="1" applyBorder="1" applyAlignment="1">
      <alignment/>
    </xf>
    <xf numFmtId="1" fontId="209" fillId="0" borderId="0" xfId="69" applyNumberFormat="1" applyFont="1" applyFill="1" applyBorder="1" applyAlignment="1" quotePrefix="1">
      <alignment horizontal="center" vertical="center"/>
    </xf>
    <xf numFmtId="171" fontId="54" fillId="56" borderId="29" xfId="70" applyNumberFormat="1" applyFont="1" applyFill="1" applyBorder="1" applyAlignment="1">
      <alignment horizontal="center"/>
    </xf>
    <xf numFmtId="1" fontId="54" fillId="0" borderId="22" xfId="69" applyNumberFormat="1" applyFont="1" applyFill="1" applyBorder="1" applyAlignment="1">
      <alignment horizontal="center"/>
    </xf>
    <xf numFmtId="1" fontId="209" fillId="0" borderId="0" xfId="69" applyNumberFormat="1" applyFont="1" applyFill="1" applyBorder="1" applyAlignment="1">
      <alignment horizontal="center" vertical="center"/>
    </xf>
    <xf numFmtId="171" fontId="54" fillId="56" borderId="30" xfId="70" applyNumberFormat="1" applyFont="1" applyFill="1" applyBorder="1" applyAlignment="1">
      <alignment/>
    </xf>
    <xf numFmtId="0" fontId="64" fillId="0" borderId="22" xfId="0" applyFont="1" applyFill="1" applyBorder="1" applyAlignment="1">
      <alignment vertical="top" wrapText="1"/>
    </xf>
    <xf numFmtId="43" fontId="66" fillId="0" borderId="22" xfId="70" applyNumberFormat="1" applyFont="1" applyFill="1" applyBorder="1" applyAlignment="1">
      <alignment/>
    </xf>
    <xf numFmtId="39" fontId="66" fillId="0" borderId="22" xfId="70" applyNumberFormat="1" applyFont="1" applyFill="1" applyBorder="1" applyAlignment="1">
      <alignment/>
    </xf>
    <xf numFmtId="39" fontId="219" fillId="0" borderId="22" xfId="70" applyNumberFormat="1" applyFont="1" applyFill="1" applyBorder="1" applyAlignment="1">
      <alignment/>
    </xf>
    <xf numFmtId="172" fontId="219" fillId="0" borderId="0" xfId="70" applyNumberFormat="1" applyFont="1" applyFill="1" applyBorder="1" applyAlignment="1">
      <alignment/>
    </xf>
    <xf numFmtId="171" fontId="54" fillId="56" borderId="22" xfId="70" applyNumberFormat="1" applyFont="1" applyFill="1" applyBorder="1" applyAlignment="1">
      <alignment/>
    </xf>
    <xf numFmtId="0" fontId="217" fillId="0" borderId="22" xfId="0" applyFont="1" applyFill="1" applyBorder="1" applyAlignment="1">
      <alignment vertical="top" wrapText="1"/>
    </xf>
    <xf numFmtId="0" fontId="212" fillId="0" borderId="0" xfId="0" applyFont="1" applyFill="1" applyAlignment="1">
      <alignment/>
    </xf>
    <xf numFmtId="43" fontId="220" fillId="0" borderId="22" xfId="70" applyNumberFormat="1" applyFont="1" applyFill="1" applyBorder="1" applyAlignment="1">
      <alignment/>
    </xf>
    <xf numFmtId="171" fontId="54" fillId="56" borderId="29" xfId="70" applyNumberFormat="1" applyFont="1" applyFill="1" applyBorder="1" applyAlignment="1">
      <alignment/>
    </xf>
    <xf numFmtId="0" fontId="65" fillId="0" borderId="22" xfId="0" applyFont="1" applyFill="1" applyBorder="1" applyAlignment="1">
      <alignment vertical="top" wrapText="1"/>
    </xf>
    <xf numFmtId="172" fontId="66" fillId="0" borderId="0" xfId="70" applyNumberFormat="1" applyFont="1" applyFill="1" applyBorder="1" applyAlignment="1">
      <alignment/>
    </xf>
    <xf numFmtId="0" fontId="53" fillId="0" borderId="0" xfId="0" applyFont="1" applyFill="1" applyAlignment="1">
      <alignment/>
    </xf>
    <xf numFmtId="43" fontId="63" fillId="0" borderId="22" xfId="70" applyNumberFormat="1" applyFont="1" applyFill="1" applyBorder="1" applyAlignment="1">
      <alignment/>
    </xf>
    <xf numFmtId="0" fontId="217" fillId="0" borderId="22" xfId="0" applyFont="1" applyFill="1" applyBorder="1" applyAlignment="1">
      <alignment vertical="center" wrapText="1"/>
    </xf>
    <xf numFmtId="0" fontId="217" fillId="0" borderId="22" xfId="0" applyFont="1" applyBorder="1" applyAlignment="1">
      <alignment vertical="top" wrapText="1"/>
    </xf>
    <xf numFmtId="43" fontId="66" fillId="0" borderId="0" xfId="70" applyNumberFormat="1" applyFont="1" applyFill="1" applyBorder="1" applyAlignment="1">
      <alignment/>
    </xf>
    <xf numFmtId="39" fontId="63" fillId="0" borderId="22" xfId="70" applyNumberFormat="1" applyFont="1" applyFill="1" applyBorder="1" applyAlignment="1">
      <alignment/>
    </xf>
    <xf numFmtId="0" fontId="64" fillId="0" borderId="22" xfId="0" applyFont="1" applyFill="1" applyBorder="1" applyAlignment="1">
      <alignment vertical="top"/>
    </xf>
    <xf numFmtId="171" fontId="54" fillId="56" borderId="26" xfId="70" applyNumberFormat="1" applyFont="1" applyFill="1" applyBorder="1" applyAlignment="1">
      <alignment/>
    </xf>
    <xf numFmtId="0" fontId="65" fillId="0" borderId="0" xfId="0" applyFont="1" applyFill="1" applyAlignment="1">
      <alignment/>
    </xf>
    <xf numFmtId="39" fontId="53" fillId="0" borderId="0" xfId="0" applyNumberFormat="1" applyFont="1" applyFill="1" applyAlignment="1">
      <alignment/>
    </xf>
    <xf numFmtId="171" fontId="53" fillId="0" borderId="0" xfId="70" applyNumberFormat="1" applyFont="1" applyFill="1" applyAlignment="1">
      <alignment/>
    </xf>
    <xf numFmtId="0" fontId="64" fillId="56" borderId="0" xfId="0" applyFont="1" applyFill="1" applyAlignment="1">
      <alignment/>
    </xf>
    <xf numFmtId="43" fontId="54" fillId="56" borderId="0" xfId="0" applyNumberFormat="1" applyFont="1" applyFill="1" applyAlignment="1">
      <alignment/>
    </xf>
    <xf numFmtId="39" fontId="53" fillId="56" borderId="0" xfId="0" applyNumberFormat="1" applyFont="1" applyFill="1" applyAlignment="1">
      <alignment/>
    </xf>
    <xf numFmtId="0" fontId="64" fillId="0" borderId="0" xfId="0" applyFont="1" applyFill="1" applyBorder="1" applyAlignment="1">
      <alignment horizontal="center"/>
    </xf>
    <xf numFmtId="0" fontId="64" fillId="56" borderId="0" xfId="0" applyFont="1" applyFill="1" applyBorder="1" applyAlignment="1">
      <alignment horizontal="center"/>
    </xf>
    <xf numFmtId="43" fontId="54" fillId="56" borderId="0" xfId="0" applyNumberFormat="1" applyFont="1" applyFill="1" applyBorder="1" applyAlignment="1">
      <alignment horizontal="center"/>
    </xf>
    <xf numFmtId="0" fontId="207" fillId="0" borderId="0" xfId="0" applyFont="1" applyAlignment="1">
      <alignment horizontal="center" vertical="center"/>
    </xf>
    <xf numFmtId="171" fontId="207" fillId="0" borderId="0" xfId="0" applyNumberFormat="1" applyFont="1" applyAlignment="1">
      <alignment/>
    </xf>
    <xf numFmtId="0" fontId="209" fillId="0" borderId="22" xfId="0" applyFont="1" applyBorder="1" applyAlignment="1">
      <alignment horizontal="center" vertical="center"/>
    </xf>
    <xf numFmtId="0" fontId="67" fillId="0" borderId="31" xfId="0" applyFont="1" applyFill="1" applyBorder="1" applyAlignment="1">
      <alignment horizontal="center" vertical="center"/>
    </xf>
    <xf numFmtId="0" fontId="67" fillId="56" borderId="30" xfId="0" applyNumberFormat="1" applyFont="1" applyFill="1" applyBorder="1" applyAlignment="1">
      <alignment horizontal="center" vertical="center" wrapText="1"/>
    </xf>
    <xf numFmtId="0" fontId="67" fillId="56" borderId="32" xfId="0" applyNumberFormat="1" applyFont="1" applyFill="1" applyBorder="1" applyAlignment="1">
      <alignment horizontal="center" vertical="center" wrapText="1"/>
    </xf>
    <xf numFmtId="0" fontId="209" fillId="0" borderId="22" xfId="0" applyFont="1" applyBorder="1" applyAlignment="1">
      <alignment horizontal="center" vertical="center"/>
    </xf>
    <xf numFmtId="0" fontId="207" fillId="0" borderId="33" xfId="0" applyFont="1" applyBorder="1" applyAlignment="1">
      <alignment horizontal="center" vertical="center"/>
    </xf>
    <xf numFmtId="0" fontId="67" fillId="57" borderId="20" xfId="0" applyFont="1" applyFill="1" applyBorder="1" applyAlignment="1">
      <alignment/>
    </xf>
    <xf numFmtId="0" fontId="67" fillId="57" borderId="21" xfId="0" applyFont="1" applyFill="1" applyBorder="1" applyAlignment="1">
      <alignment/>
    </xf>
    <xf numFmtId="171" fontId="67" fillId="57" borderId="22" xfId="70" applyNumberFormat="1" applyFont="1" applyFill="1" applyBorder="1" applyAlignment="1">
      <alignment horizontal="right"/>
    </xf>
    <xf numFmtId="171" fontId="67" fillId="57" borderId="21" xfId="70" applyNumberFormat="1" applyFont="1" applyFill="1" applyBorder="1" applyAlignment="1">
      <alignment horizontal="right"/>
    </xf>
    <xf numFmtId="2" fontId="207" fillId="0" borderId="22" xfId="0" applyNumberFormat="1" applyFont="1" applyBorder="1" applyAlignment="1">
      <alignment horizontal="center" vertical="center"/>
    </xf>
    <xf numFmtId="171" fontId="207" fillId="0" borderId="22" xfId="0" applyNumberFormat="1" applyFont="1" applyBorder="1" applyAlignment="1">
      <alignment/>
    </xf>
    <xf numFmtId="0" fontId="67" fillId="58" borderId="21" xfId="0" applyFont="1" applyFill="1" applyBorder="1" applyAlignment="1">
      <alignment horizontal="center"/>
    </xf>
    <xf numFmtId="0" fontId="67" fillId="58" borderId="20" xfId="0" applyFont="1" applyFill="1" applyBorder="1" applyAlignment="1">
      <alignment/>
    </xf>
    <xf numFmtId="171" fontId="67" fillId="58" borderId="34" xfId="70" applyNumberFormat="1" applyFont="1" applyFill="1" applyBorder="1" applyAlignment="1">
      <alignment horizontal="right"/>
    </xf>
    <xf numFmtId="171" fontId="67" fillId="58" borderId="31" xfId="70" applyNumberFormat="1" applyFont="1" applyFill="1" applyBorder="1" applyAlignment="1">
      <alignment horizontal="right"/>
    </xf>
    <xf numFmtId="0" fontId="67" fillId="0" borderId="21" xfId="0" applyFont="1" applyFill="1" applyBorder="1" applyAlignment="1">
      <alignment horizontal="center"/>
    </xf>
    <xf numFmtId="0" fontId="207" fillId="0" borderId="35" xfId="0" applyFont="1" applyBorder="1" applyAlignment="1">
      <alignment horizontal="center" vertical="center"/>
    </xf>
    <xf numFmtId="0" fontId="67" fillId="59" borderId="20" xfId="0" applyFont="1" applyFill="1" applyBorder="1" applyAlignment="1">
      <alignment/>
    </xf>
    <xf numFmtId="171" fontId="67" fillId="59" borderId="22" xfId="70" applyNumberFormat="1" applyFont="1" applyFill="1" applyBorder="1" applyAlignment="1">
      <alignment horizontal="right"/>
    </xf>
    <xf numFmtId="171" fontId="67" fillId="59" borderId="21" xfId="70" applyNumberFormat="1" applyFont="1" applyFill="1" applyBorder="1" applyAlignment="1">
      <alignment horizontal="right"/>
    </xf>
    <xf numFmtId="0" fontId="67" fillId="0" borderId="19" xfId="0" applyFont="1" applyFill="1" applyBorder="1" applyAlignment="1">
      <alignment horizontal="center"/>
    </xf>
    <xf numFmtId="0" fontId="62" fillId="0" borderId="19" xfId="0" applyFont="1" applyFill="1" applyBorder="1" applyAlignment="1">
      <alignment/>
    </xf>
    <xf numFmtId="171" fontId="221" fillId="0" borderId="22" xfId="70" applyNumberFormat="1" applyFont="1" applyFill="1" applyBorder="1" applyAlignment="1">
      <alignment horizontal="right"/>
    </xf>
    <xf numFmtId="0" fontId="67" fillId="60" borderId="21" xfId="0" applyFont="1" applyFill="1" applyBorder="1" applyAlignment="1">
      <alignment horizontal="center"/>
    </xf>
    <xf numFmtId="0" fontId="67" fillId="60" borderId="19" xfId="0" applyFont="1" applyFill="1" applyBorder="1" applyAlignment="1">
      <alignment horizontal="center"/>
    </xf>
    <xf numFmtId="0" fontId="67" fillId="61" borderId="19" xfId="0" applyFont="1" applyFill="1" applyBorder="1" applyAlignment="1">
      <alignment/>
    </xf>
    <xf numFmtId="171" fontId="67" fillId="61" borderId="22" xfId="70" applyNumberFormat="1" applyFont="1" applyFill="1" applyBorder="1" applyAlignment="1">
      <alignment horizontal="right"/>
    </xf>
    <xf numFmtId="171" fontId="67" fillId="61" borderId="21" xfId="70" applyNumberFormat="1" applyFont="1" applyFill="1" applyBorder="1" applyAlignment="1">
      <alignment horizontal="right"/>
    </xf>
    <xf numFmtId="0" fontId="68" fillId="60" borderId="21" xfId="0" applyFont="1" applyFill="1" applyBorder="1" applyAlignment="1">
      <alignment horizontal="center"/>
    </xf>
    <xf numFmtId="0" fontId="68" fillId="60" borderId="19" xfId="0" applyFont="1" applyFill="1" applyBorder="1" applyAlignment="1">
      <alignment horizontal="center"/>
    </xf>
    <xf numFmtId="0" fontId="69" fillId="60" borderId="19" xfId="0" applyFont="1" applyFill="1" applyBorder="1" applyAlignment="1">
      <alignment/>
    </xf>
    <xf numFmtId="0" fontId="67" fillId="0" borderId="21" xfId="0" applyFont="1" applyFill="1" applyBorder="1" applyAlignment="1">
      <alignment/>
    </xf>
    <xf numFmtId="0" fontId="67" fillId="0" borderId="19" xfId="0" applyFont="1" applyFill="1" applyBorder="1" applyAlignment="1">
      <alignment/>
    </xf>
    <xf numFmtId="0" fontId="67" fillId="61" borderId="19" xfId="0" applyFont="1" applyFill="1" applyBorder="1" applyAlignment="1">
      <alignment/>
    </xf>
    <xf numFmtId="0" fontId="207" fillId="0" borderId="25" xfId="0" applyFont="1" applyBorder="1" applyAlignment="1">
      <alignment horizontal="center" vertical="center"/>
    </xf>
    <xf numFmtId="0" fontId="67" fillId="61" borderId="20" xfId="0" applyFont="1" applyFill="1" applyBorder="1" applyAlignment="1">
      <alignment/>
    </xf>
    <xf numFmtId="171" fontId="212" fillId="0" borderId="0" xfId="0" applyNumberFormat="1" applyFont="1" applyAlignment="1">
      <alignment/>
    </xf>
    <xf numFmtId="0" fontId="68" fillId="0" borderId="21" xfId="0" applyFont="1" applyFill="1" applyBorder="1" applyAlignment="1">
      <alignment horizontal="center"/>
    </xf>
    <xf numFmtId="0" fontId="68" fillId="0" borderId="19" xfId="0" applyFont="1" applyFill="1" applyBorder="1" applyAlignment="1">
      <alignment horizontal="center"/>
    </xf>
    <xf numFmtId="0" fontId="68" fillId="0" borderId="20" xfId="0" applyFont="1" applyFill="1" applyBorder="1" applyAlignment="1">
      <alignment/>
    </xf>
    <xf numFmtId="0" fontId="209" fillId="58" borderId="35" xfId="0" applyFont="1" applyFill="1" applyBorder="1" applyAlignment="1">
      <alignment horizontal="center" vertical="center"/>
    </xf>
    <xf numFmtId="171" fontId="67" fillId="58" borderId="22" xfId="0" applyNumberFormat="1" applyFont="1" applyFill="1" applyBorder="1" applyAlignment="1">
      <alignment/>
    </xf>
    <xf numFmtId="171" fontId="67" fillId="58" borderId="21" xfId="0" applyNumberFormat="1" applyFont="1" applyFill="1" applyBorder="1" applyAlignment="1">
      <alignment/>
    </xf>
    <xf numFmtId="0" fontId="207" fillId="0" borderId="25" xfId="0" applyFont="1" applyFill="1" applyBorder="1" applyAlignment="1">
      <alignment horizontal="center" vertical="center"/>
    </xf>
    <xf numFmtId="0" fontId="69" fillId="0" borderId="19" xfId="0" applyFont="1" applyFill="1" applyBorder="1" applyAlignment="1">
      <alignment/>
    </xf>
    <xf numFmtId="0" fontId="67" fillId="62" borderId="20" xfId="0" applyFont="1" applyFill="1" applyBorder="1" applyAlignment="1">
      <alignment/>
    </xf>
    <xf numFmtId="171" fontId="67" fillId="62" borderId="22" xfId="70" applyNumberFormat="1" applyFont="1" applyFill="1" applyBorder="1" applyAlignment="1">
      <alignment horizontal="right"/>
    </xf>
    <xf numFmtId="171" fontId="67" fillId="62" borderId="21" xfId="70" applyNumberFormat="1" applyFont="1" applyFill="1" applyBorder="1" applyAlignment="1">
      <alignment horizontal="right"/>
    </xf>
    <xf numFmtId="171" fontId="68" fillId="62" borderId="22" xfId="70" applyNumberFormat="1" applyFont="1" applyFill="1" applyBorder="1" applyAlignment="1">
      <alignment horizontal="right"/>
    </xf>
    <xf numFmtId="171" fontId="68" fillId="62" borderId="21" xfId="70" applyNumberFormat="1" applyFont="1" applyFill="1" applyBorder="1" applyAlignment="1">
      <alignment horizontal="right"/>
    </xf>
    <xf numFmtId="171" fontId="69" fillId="0" borderId="22" xfId="70" applyNumberFormat="1" applyFont="1" applyFill="1" applyBorder="1" applyAlignment="1">
      <alignment horizontal="right"/>
    </xf>
    <xf numFmtId="171" fontId="69" fillId="0" borderId="21" xfId="70" applyNumberFormat="1" applyFont="1" applyFill="1" applyBorder="1" applyAlignment="1">
      <alignment horizontal="right"/>
    </xf>
    <xf numFmtId="0" fontId="209" fillId="58" borderId="25" xfId="0" applyFont="1" applyFill="1" applyBorder="1" applyAlignment="1">
      <alignment horizontal="center" vertical="center"/>
    </xf>
    <xf numFmtId="171" fontId="67" fillId="58" borderId="22" xfId="70" applyNumberFormat="1" applyFont="1" applyFill="1" applyBorder="1" applyAlignment="1">
      <alignment horizontal="right"/>
    </xf>
    <xf numFmtId="171" fontId="67" fillId="58" borderId="21" xfId="70" applyNumberFormat="1" applyFont="1" applyFill="1" applyBorder="1" applyAlignment="1">
      <alignment horizontal="right"/>
    </xf>
    <xf numFmtId="171" fontId="67" fillId="59" borderId="22" xfId="0" applyNumberFormat="1" applyFont="1" applyFill="1" applyBorder="1" applyAlignment="1">
      <alignment/>
    </xf>
    <xf numFmtId="171" fontId="67" fillId="59" borderId="21" xfId="0" applyNumberFormat="1" applyFont="1" applyFill="1" applyBorder="1" applyAlignment="1">
      <alignment/>
    </xf>
    <xf numFmtId="0" fontId="207" fillId="0" borderId="21" xfId="0" applyFont="1" applyBorder="1" applyAlignment="1">
      <alignment horizontal="center" vertical="center"/>
    </xf>
    <xf numFmtId="171" fontId="67" fillId="59" borderId="22" xfId="70" applyNumberFormat="1" applyFont="1" applyFill="1" applyBorder="1" applyAlignment="1">
      <alignment/>
    </xf>
    <xf numFmtId="171" fontId="67" fillId="59" borderId="21" xfId="70" applyNumberFormat="1" applyFont="1" applyFill="1" applyBorder="1" applyAlignment="1">
      <alignment/>
    </xf>
    <xf numFmtId="0" fontId="67" fillId="59" borderId="23" xfId="0" applyFont="1" applyFill="1" applyBorder="1" applyAlignment="1">
      <alignment/>
    </xf>
    <xf numFmtId="0" fontId="67" fillId="0" borderId="31" xfId="0" applyFont="1" applyFill="1" applyBorder="1" applyAlignment="1">
      <alignment horizontal="center"/>
    </xf>
    <xf numFmtId="0" fontId="207" fillId="0" borderId="32" xfId="0" applyFont="1" applyBorder="1" applyAlignment="1">
      <alignment horizontal="center" vertical="center"/>
    </xf>
    <xf numFmtId="0" fontId="207" fillId="0" borderId="24" xfId="0" applyFont="1" applyBorder="1" applyAlignment="1">
      <alignment horizontal="center" vertical="center"/>
    </xf>
    <xf numFmtId="171" fontId="67" fillId="0" borderId="22" xfId="0" applyNumberFormat="1" applyFont="1" applyFill="1" applyBorder="1" applyAlignment="1">
      <alignment horizontal="center" vertical="center"/>
    </xf>
    <xf numFmtId="171" fontId="67" fillId="0" borderId="21" xfId="0" applyNumberFormat="1" applyFont="1" applyFill="1" applyBorder="1" applyAlignment="1">
      <alignment horizontal="center" vertical="center"/>
    </xf>
    <xf numFmtId="2" fontId="209" fillId="0" borderId="22" xfId="0" applyNumberFormat="1" applyFont="1" applyBorder="1" applyAlignment="1">
      <alignment horizontal="center" vertical="center"/>
    </xf>
    <xf numFmtId="171" fontId="209" fillId="0" borderId="22" xfId="0" applyNumberFormat="1" applyFont="1" applyBorder="1" applyAlignment="1">
      <alignment horizontal="center" vertical="center"/>
    </xf>
    <xf numFmtId="0" fontId="67" fillId="57" borderId="21" xfId="0" applyFont="1" applyFill="1" applyBorder="1" applyAlignment="1">
      <alignment/>
    </xf>
    <xf numFmtId="171" fontId="68" fillId="57" borderId="22" xfId="70" applyNumberFormat="1" applyFont="1" applyFill="1" applyBorder="1" applyAlignment="1">
      <alignment horizontal="right"/>
    </xf>
    <xf numFmtId="0" fontId="207" fillId="0" borderId="31" xfId="0" applyFont="1" applyBorder="1" applyAlignment="1">
      <alignment horizontal="center" vertical="center"/>
    </xf>
    <xf numFmtId="0" fontId="67" fillId="0" borderId="22" xfId="0" applyFont="1" applyFill="1" applyBorder="1" applyAlignment="1">
      <alignment horizontal="center"/>
    </xf>
    <xf numFmtId="0" fontId="62" fillId="0" borderId="21" xfId="0" applyFont="1" applyFill="1" applyBorder="1" applyAlignment="1">
      <alignment horizontal="center"/>
    </xf>
    <xf numFmtId="0" fontId="69" fillId="0" borderId="21" xfId="0" applyFont="1" applyFill="1" applyBorder="1" applyAlignment="1">
      <alignment horizontal="center"/>
    </xf>
    <xf numFmtId="0" fontId="69" fillId="0" borderId="19" xfId="0" applyFont="1" applyFill="1" applyBorder="1" applyAlignment="1">
      <alignment horizontal="center"/>
    </xf>
    <xf numFmtId="0" fontId="68" fillId="0" borderId="22" xfId="0" applyFont="1" applyFill="1" applyBorder="1" applyAlignment="1">
      <alignment horizontal="center"/>
    </xf>
    <xf numFmtId="0" fontId="68" fillId="58" borderId="20" xfId="0" applyFont="1" applyFill="1" applyBorder="1" applyAlignment="1">
      <alignment/>
    </xf>
    <xf numFmtId="171" fontId="68" fillId="58" borderId="22" xfId="70" applyNumberFormat="1" applyFont="1" applyFill="1" applyBorder="1" applyAlignment="1">
      <alignment horizontal="right"/>
    </xf>
    <xf numFmtId="171" fontId="68" fillId="58" borderId="21" xfId="70" applyNumberFormat="1" applyFont="1" applyFill="1" applyBorder="1" applyAlignment="1">
      <alignment horizontal="right"/>
    </xf>
    <xf numFmtId="171" fontId="207" fillId="0" borderId="22" xfId="70" applyNumberFormat="1" applyFont="1" applyBorder="1" applyAlignment="1">
      <alignment horizontal="center" vertical="center"/>
    </xf>
    <xf numFmtId="171" fontId="68" fillId="58" borderId="22" xfId="0" applyNumberFormat="1" applyFont="1" applyFill="1" applyBorder="1" applyAlignment="1">
      <alignment/>
    </xf>
    <xf numFmtId="171" fontId="68" fillId="58" borderId="21" xfId="0" applyNumberFormat="1" applyFont="1" applyFill="1" applyBorder="1" applyAlignment="1">
      <alignment/>
    </xf>
    <xf numFmtId="0" fontId="62" fillId="0" borderId="19" xfId="0" applyFont="1" applyFill="1" applyBorder="1" applyAlignment="1">
      <alignment horizontal="center"/>
    </xf>
    <xf numFmtId="0" fontId="222" fillId="0" borderId="0" xfId="103" applyFont="1" applyFill="1" applyAlignment="1">
      <alignment horizontal="right" vertical="center"/>
      <protection/>
    </xf>
    <xf numFmtId="171" fontId="222" fillId="0" borderId="0" xfId="70" applyNumberFormat="1" applyFont="1" applyFill="1" applyAlignment="1">
      <alignment horizontal="right" vertical="center"/>
    </xf>
    <xf numFmtId="171" fontId="200" fillId="0" borderId="0" xfId="70" applyNumberFormat="1" applyFont="1" applyAlignment="1">
      <alignment/>
    </xf>
    <xf numFmtId="0" fontId="223" fillId="0" borderId="0" xfId="103" applyFont="1" applyAlignment="1">
      <alignment horizontal="center"/>
      <protection/>
    </xf>
    <xf numFmtId="171" fontId="223" fillId="0" borderId="0" xfId="70" applyNumberFormat="1" applyFont="1" applyAlignment="1">
      <alignment horizontal="center"/>
    </xf>
    <xf numFmtId="0" fontId="201" fillId="0" borderId="0" xfId="0" applyFont="1" applyAlignment="1">
      <alignment/>
    </xf>
    <xf numFmtId="0" fontId="200" fillId="0" borderId="33" xfId="0" applyFont="1" applyBorder="1" applyAlignment="1">
      <alignment/>
    </xf>
    <xf numFmtId="170" fontId="200" fillId="0" borderId="0" xfId="69" applyNumberFormat="1" applyFont="1" applyAlignment="1">
      <alignment/>
    </xf>
    <xf numFmtId="0" fontId="224" fillId="53" borderId="22" xfId="0" applyFont="1" applyFill="1" applyBorder="1" applyAlignment="1">
      <alignment horizontal="left" vertical="center" wrapText="1"/>
    </xf>
    <xf numFmtId="0" fontId="206" fillId="6" borderId="22" xfId="0" applyFont="1" applyFill="1" applyBorder="1" applyAlignment="1">
      <alignment horizontal="left" vertical="center"/>
    </xf>
    <xf numFmtId="49" fontId="224" fillId="53" borderId="22" xfId="0" applyNumberFormat="1" applyFont="1" applyFill="1" applyBorder="1" applyAlignment="1">
      <alignment horizontal="left" vertical="center" wrapText="1"/>
    </xf>
    <xf numFmtId="49" fontId="225" fillId="0" borderId="0" xfId="0" applyNumberFormat="1" applyFont="1" applyAlignment="1">
      <alignment horizontal="right"/>
    </xf>
    <xf numFmtId="0" fontId="224" fillId="53" borderId="22" xfId="0" applyNumberFormat="1" applyFont="1" applyFill="1" applyBorder="1" applyAlignment="1" quotePrefix="1">
      <alignment horizontal="left" vertical="center" wrapText="1"/>
    </xf>
    <xf numFmtId="0" fontId="225" fillId="0" borderId="0" xfId="0" applyFont="1" applyAlignment="1">
      <alignment/>
    </xf>
    <xf numFmtId="0" fontId="206" fillId="6" borderId="22" xfId="0" applyFont="1" applyFill="1" applyBorder="1" applyAlignment="1">
      <alignment vertical="center"/>
    </xf>
    <xf numFmtId="1" fontId="224" fillId="53" borderId="22" xfId="0" applyNumberFormat="1" applyFont="1" applyFill="1" applyBorder="1" applyAlignment="1">
      <alignment horizontal="left" vertical="center"/>
    </xf>
    <xf numFmtId="0" fontId="226" fillId="6" borderId="22" xfId="0" applyFont="1" applyFill="1" applyBorder="1" applyAlignment="1">
      <alignment vertical="center"/>
    </xf>
    <xf numFmtId="0" fontId="224" fillId="53" borderId="22" xfId="0" applyFont="1" applyFill="1" applyBorder="1" applyAlignment="1">
      <alignment horizontal="left" vertical="center"/>
    </xf>
    <xf numFmtId="168" fontId="200" fillId="0" borderId="0" xfId="0" applyNumberFormat="1" applyFont="1" applyAlignment="1">
      <alignment/>
    </xf>
    <xf numFmtId="41" fontId="200" fillId="0" borderId="0" xfId="70" applyFont="1" applyAlignment="1">
      <alignment/>
    </xf>
    <xf numFmtId="0" fontId="200" fillId="0" borderId="22" xfId="0" applyFont="1" applyBorder="1" applyAlignment="1">
      <alignment horizontal="center" vertical="center"/>
    </xf>
    <xf numFmtId="43" fontId="227" fillId="0" borderId="22" xfId="69" applyNumberFormat="1" applyFont="1" applyBorder="1" applyAlignment="1">
      <alignment/>
    </xf>
    <xf numFmtId="9" fontId="25" fillId="0" borderId="0" xfId="113" applyFont="1" applyAlignment="1">
      <alignment/>
    </xf>
    <xf numFmtId="0" fontId="228" fillId="0" borderId="0" xfId="0" applyFont="1" applyAlignment="1">
      <alignment/>
    </xf>
    <xf numFmtId="9" fontId="200" fillId="0" borderId="0" xfId="113" applyFont="1" applyAlignment="1">
      <alignment/>
    </xf>
    <xf numFmtId="9" fontId="228" fillId="0" borderId="0" xfId="113" applyFont="1" applyAlignment="1">
      <alignment/>
    </xf>
    <xf numFmtId="41" fontId="227" fillId="0" borderId="22" xfId="113" applyNumberFormat="1" applyFont="1" applyBorder="1" applyAlignment="1">
      <alignment/>
    </xf>
    <xf numFmtId="41" fontId="229" fillId="0" borderId="22" xfId="70" applyFont="1" applyBorder="1" applyAlignment="1">
      <alignment horizontal="center" wrapText="1"/>
    </xf>
    <xf numFmtId="0" fontId="229" fillId="0" borderId="22" xfId="0" applyFont="1" applyBorder="1" applyAlignment="1">
      <alignment vertical="center"/>
    </xf>
    <xf numFmtId="0" fontId="230" fillId="0" borderId="22" xfId="0" applyFont="1" applyBorder="1" applyAlignment="1">
      <alignment/>
    </xf>
    <xf numFmtId="168" fontId="227" fillId="0" borderId="22" xfId="69" applyNumberFormat="1" applyFont="1" applyBorder="1" applyAlignment="1">
      <alignment vertical="top"/>
    </xf>
    <xf numFmtId="4" fontId="230" fillId="0" borderId="22" xfId="113" applyNumberFormat="1" applyFont="1" applyBorder="1" applyAlignment="1">
      <alignment/>
    </xf>
    <xf numFmtId="168" fontId="21" fillId="0" borderId="22" xfId="0" applyNumberFormat="1" applyFont="1" applyFill="1" applyBorder="1" applyAlignment="1">
      <alignment/>
    </xf>
    <xf numFmtId="4" fontId="22" fillId="0" borderId="22" xfId="113" applyNumberFormat="1" applyFont="1" applyBorder="1" applyAlignment="1">
      <alignment/>
    </xf>
    <xf numFmtId="168" fontId="21" fillId="0" borderId="22" xfId="69" applyNumberFormat="1" applyFont="1" applyBorder="1" applyAlignment="1">
      <alignment vertical="top"/>
    </xf>
    <xf numFmtId="0" fontId="200" fillId="0" borderId="0" xfId="0" applyFont="1" applyBorder="1" applyAlignment="1">
      <alignment/>
    </xf>
    <xf numFmtId="170" fontId="201" fillId="0" borderId="0" xfId="69" applyNumberFormat="1" applyFont="1" applyBorder="1" applyAlignment="1">
      <alignment horizontal="center"/>
    </xf>
    <xf numFmtId="170" fontId="200" fillId="0" borderId="0" xfId="69" applyNumberFormat="1" applyFont="1" applyBorder="1" applyAlignment="1">
      <alignment/>
    </xf>
    <xf numFmtId="168" fontId="231" fillId="0" borderId="0" xfId="0" applyNumberFormat="1" applyFont="1" applyAlignment="1">
      <alignment/>
    </xf>
    <xf numFmtId="0" fontId="186" fillId="0" borderId="0" xfId="0" applyFont="1" applyBorder="1" applyAlignment="1">
      <alignment vertical="top"/>
    </xf>
    <xf numFmtId="0" fontId="25" fillId="0" borderId="0" xfId="0" applyFont="1" applyBorder="1" applyAlignment="1">
      <alignment horizontal="left"/>
    </xf>
    <xf numFmtId="168" fontId="200" fillId="0" borderId="0" xfId="0" applyNumberFormat="1" applyFont="1" applyBorder="1" applyAlignment="1">
      <alignment/>
    </xf>
    <xf numFmtId="0" fontId="201" fillId="0" borderId="22" xfId="0" applyFont="1" applyFill="1" applyBorder="1" applyAlignment="1">
      <alignment/>
    </xf>
    <xf numFmtId="168" fontId="200" fillId="0" borderId="22" xfId="0" applyNumberFormat="1" applyFont="1" applyBorder="1" applyAlignment="1">
      <alignment/>
    </xf>
    <xf numFmtId="0" fontId="200" fillId="0" borderId="36" xfId="0" applyFont="1" applyFill="1" applyBorder="1" applyAlignment="1">
      <alignment/>
    </xf>
    <xf numFmtId="0" fontId="200" fillId="0" borderId="37" xfId="0" applyFont="1" applyFill="1" applyBorder="1" applyAlignment="1">
      <alignment/>
    </xf>
    <xf numFmtId="49" fontId="25" fillId="0" borderId="38" xfId="0" applyNumberFormat="1" applyFont="1" applyFill="1" applyBorder="1" applyAlignment="1">
      <alignment/>
    </xf>
    <xf numFmtId="0" fontId="200" fillId="0" borderId="39" xfId="0" applyFont="1" applyFill="1" applyBorder="1" applyAlignment="1">
      <alignment/>
    </xf>
    <xf numFmtId="0" fontId="200" fillId="0" borderId="0" xfId="0" applyFont="1" applyFill="1" applyBorder="1" applyAlignment="1">
      <alignment/>
    </xf>
    <xf numFmtId="168" fontId="25" fillId="0" borderId="40" xfId="0" applyNumberFormat="1" applyFont="1" applyFill="1" applyBorder="1" applyAlignment="1">
      <alignment/>
    </xf>
    <xf numFmtId="168" fontId="225" fillId="0" borderId="40" xfId="0" applyNumberFormat="1" applyFont="1" applyFill="1" applyBorder="1" applyAlignment="1">
      <alignment/>
    </xf>
    <xf numFmtId="0" fontId="200" fillId="0" borderId="41" xfId="0" applyFont="1" applyFill="1" applyBorder="1" applyAlignment="1">
      <alignment/>
    </xf>
    <xf numFmtId="168" fontId="200" fillId="0" borderId="40" xfId="0" applyNumberFormat="1" applyFont="1" applyFill="1" applyBorder="1" applyAlignment="1">
      <alignment/>
    </xf>
    <xf numFmtId="0" fontId="200" fillId="0" borderId="33" xfId="0" applyFont="1" applyFill="1" applyBorder="1" applyAlignment="1">
      <alignment/>
    </xf>
    <xf numFmtId="0" fontId="24" fillId="0" borderId="0" xfId="103" applyFont="1" applyFill="1" applyBorder="1" applyAlignment="1">
      <alignment horizontal="left"/>
      <protection/>
    </xf>
    <xf numFmtId="0" fontId="200" fillId="0" borderId="42" xfId="0" applyFont="1" applyFill="1" applyBorder="1" applyAlignment="1">
      <alignment/>
    </xf>
    <xf numFmtId="0" fontId="22" fillId="0" borderId="0" xfId="103" applyFont="1" applyFill="1" applyBorder="1">
      <alignment/>
      <protection/>
    </xf>
    <xf numFmtId="0" fontId="22" fillId="0" borderId="0" xfId="0" applyFont="1" applyFill="1" applyBorder="1" applyAlignment="1">
      <alignment horizontal="left"/>
    </xf>
    <xf numFmtId="0" fontId="22" fillId="0" borderId="0" xfId="0" applyFont="1" applyFill="1" applyBorder="1" applyAlignment="1">
      <alignment/>
    </xf>
    <xf numFmtId="0" fontId="200" fillId="0" borderId="43" xfId="0" applyFont="1" applyFill="1" applyBorder="1" applyAlignment="1">
      <alignment/>
    </xf>
    <xf numFmtId="0" fontId="200" fillId="0" borderId="44" xfId="0" applyFont="1" applyFill="1" applyBorder="1" applyAlignment="1">
      <alignment/>
    </xf>
    <xf numFmtId="0" fontId="200" fillId="0" borderId="45" xfId="0" applyFont="1" applyFill="1" applyBorder="1" applyAlignment="1">
      <alignment/>
    </xf>
    <xf numFmtId="0" fontId="201" fillId="0" borderId="46" xfId="0" applyFont="1" applyFill="1" applyBorder="1" applyAlignment="1">
      <alignment/>
    </xf>
    <xf numFmtId="168" fontId="26" fillId="0" borderId="47" xfId="0" applyNumberFormat="1" applyFont="1" applyFill="1" applyBorder="1" applyAlignment="1">
      <alignment/>
    </xf>
    <xf numFmtId="0" fontId="60" fillId="0" borderId="0" xfId="0" applyFont="1" applyBorder="1" applyAlignment="1">
      <alignment horizontal="left"/>
    </xf>
    <xf numFmtId="168" fontId="187" fillId="0" borderId="0" xfId="0" applyNumberFormat="1" applyFont="1" applyBorder="1" applyAlignment="1">
      <alignment/>
    </xf>
    <xf numFmtId="0" fontId="232" fillId="0" borderId="0" xfId="0" applyNumberFormat="1" applyFont="1" applyAlignment="1">
      <alignment/>
    </xf>
    <xf numFmtId="168" fontId="21" fillId="0" borderId="0" xfId="0" applyNumberFormat="1" applyFont="1" applyBorder="1" applyAlignment="1">
      <alignment/>
    </xf>
    <xf numFmtId="0" fontId="201" fillId="0" borderId="21" xfId="0" applyFont="1" applyFill="1" applyBorder="1" applyAlignment="1">
      <alignment/>
    </xf>
    <xf numFmtId="0" fontId="201" fillId="0" borderId="20" xfId="0" applyFont="1" applyFill="1" applyBorder="1" applyAlignment="1">
      <alignment/>
    </xf>
    <xf numFmtId="0" fontId="201" fillId="0" borderId="19" xfId="0" applyFont="1" applyFill="1" applyBorder="1" applyAlignment="1">
      <alignment/>
    </xf>
    <xf numFmtId="0" fontId="201" fillId="0" borderId="31" xfId="0" applyFont="1" applyFill="1" applyBorder="1" applyAlignment="1">
      <alignment horizontal="center"/>
    </xf>
    <xf numFmtId="0" fontId="201" fillId="0" borderId="0" xfId="0" applyFont="1" applyFill="1" applyBorder="1" applyAlignment="1">
      <alignment horizontal="center"/>
    </xf>
    <xf numFmtId="0" fontId="201" fillId="0" borderId="35" xfId="0" applyFont="1" applyFill="1" applyBorder="1" applyAlignment="1">
      <alignment horizontal="center"/>
    </xf>
    <xf numFmtId="0" fontId="200" fillId="0" borderId="31" xfId="0" applyFont="1" applyFill="1" applyBorder="1" applyAlignment="1">
      <alignment/>
    </xf>
    <xf numFmtId="168" fontId="225" fillId="0" borderId="48" xfId="0" applyNumberFormat="1" applyFont="1" applyFill="1" applyBorder="1" applyAlignment="1">
      <alignment/>
    </xf>
    <xf numFmtId="0" fontId="201" fillId="0" borderId="49" xfId="0" applyFont="1" applyFill="1" applyBorder="1" applyAlignment="1">
      <alignment/>
    </xf>
    <xf numFmtId="0" fontId="201" fillId="0" borderId="0" xfId="0" applyFont="1" applyFill="1" applyBorder="1" applyAlignment="1">
      <alignment/>
    </xf>
    <xf numFmtId="0" fontId="200" fillId="0" borderId="50" xfId="0" applyFont="1" applyFill="1" applyBorder="1" applyAlignment="1">
      <alignment/>
    </xf>
    <xf numFmtId="0" fontId="201" fillId="0" borderId="41" xfId="0" applyFont="1" applyFill="1" applyBorder="1" applyAlignment="1">
      <alignment/>
    </xf>
    <xf numFmtId="168" fontId="26" fillId="0" borderId="51" xfId="0" applyNumberFormat="1" applyFont="1" applyFill="1" applyBorder="1" applyAlignment="1">
      <alignment/>
    </xf>
    <xf numFmtId="0" fontId="200" fillId="0" borderId="25" xfId="0" applyFont="1" applyBorder="1" applyAlignment="1">
      <alignment/>
    </xf>
    <xf numFmtId="168" fontId="26" fillId="0" borderId="0" xfId="0" applyNumberFormat="1" applyFont="1" applyFill="1" applyBorder="1" applyAlignment="1">
      <alignment/>
    </xf>
    <xf numFmtId="0" fontId="225" fillId="0" borderId="0" xfId="0" applyFont="1" applyFill="1" applyBorder="1" applyAlignment="1">
      <alignment/>
    </xf>
    <xf numFmtId="173" fontId="54" fillId="61" borderId="19" xfId="0" applyNumberFormat="1" applyFont="1" applyFill="1" applyBorder="1" applyAlignment="1">
      <alignment/>
    </xf>
    <xf numFmtId="173" fontId="209" fillId="61" borderId="22" xfId="0" applyNumberFormat="1" applyFont="1" applyFill="1" applyBorder="1" applyAlignment="1">
      <alignment/>
    </xf>
    <xf numFmtId="173" fontId="212" fillId="61" borderId="22" xfId="69" applyNumberFormat="1" applyFont="1" applyFill="1" applyBorder="1" applyAlignment="1">
      <alignment vertical="top"/>
    </xf>
    <xf numFmtId="173" fontId="209" fillId="61" borderId="19" xfId="0" applyNumberFormat="1" applyFont="1" applyFill="1" applyBorder="1" applyAlignment="1">
      <alignment/>
    </xf>
    <xf numFmtId="173" fontId="212" fillId="61" borderId="22" xfId="0" applyNumberFormat="1" applyFont="1" applyFill="1" applyBorder="1" applyAlignment="1">
      <alignment/>
    </xf>
    <xf numFmtId="173" fontId="212" fillId="61" borderId="19" xfId="0" applyNumberFormat="1" applyFont="1" applyFill="1" applyBorder="1" applyAlignment="1">
      <alignment vertical="top" wrapText="1"/>
    </xf>
    <xf numFmtId="173" fontId="54" fillId="61" borderId="19" xfId="0" applyNumberFormat="1" applyFont="1" applyFill="1" applyBorder="1" applyAlignment="1">
      <alignment vertical="top" wrapText="1"/>
    </xf>
    <xf numFmtId="173" fontId="53" fillId="61" borderId="19" xfId="0" applyNumberFormat="1" applyFont="1" applyFill="1" applyBorder="1" applyAlignment="1">
      <alignment vertical="top" wrapText="1"/>
    </xf>
    <xf numFmtId="173" fontId="209" fillId="61" borderId="19" xfId="0" applyNumberFormat="1" applyFont="1" applyFill="1" applyBorder="1" applyAlignment="1">
      <alignment vertical="top" wrapText="1"/>
    </xf>
    <xf numFmtId="173" fontId="212" fillId="61" borderId="19" xfId="0" applyNumberFormat="1" applyFont="1" applyFill="1" applyBorder="1" applyAlignment="1">
      <alignment vertical="top" wrapText="1"/>
    </xf>
    <xf numFmtId="173" fontId="54" fillId="61" borderId="22" xfId="0" applyNumberFormat="1" applyFont="1" applyFill="1" applyBorder="1" applyAlignment="1">
      <alignment vertical="top" wrapText="1"/>
    </xf>
    <xf numFmtId="173" fontId="54" fillId="61" borderId="19" xfId="0" applyNumberFormat="1" applyFont="1" applyFill="1" applyBorder="1" applyAlignment="1">
      <alignment vertical="center" wrapText="1"/>
    </xf>
    <xf numFmtId="173" fontId="216" fillId="61" borderId="0" xfId="0" applyNumberFormat="1" applyFont="1" applyFill="1" applyBorder="1" applyAlignment="1">
      <alignment vertical="top" wrapText="1"/>
    </xf>
    <xf numFmtId="173" fontId="54" fillId="61" borderId="22" xfId="0" applyNumberFormat="1" applyFont="1" applyFill="1" applyBorder="1" applyAlignment="1">
      <alignment vertical="top" wrapText="1"/>
    </xf>
    <xf numFmtId="173" fontId="216" fillId="61" borderId="22" xfId="0" applyNumberFormat="1" applyFont="1" applyFill="1" applyBorder="1" applyAlignment="1">
      <alignment vertical="top" wrapText="1"/>
    </xf>
    <xf numFmtId="173" fontId="54" fillId="61" borderId="27" xfId="0" applyNumberFormat="1" applyFont="1" applyFill="1" applyBorder="1" applyAlignment="1">
      <alignment vertical="top" wrapText="1"/>
    </xf>
    <xf numFmtId="173" fontId="54" fillId="61" borderId="22" xfId="70" applyNumberFormat="1" applyFont="1" applyFill="1" applyBorder="1" applyAlignment="1">
      <alignment/>
    </xf>
    <xf numFmtId="173" fontId="54" fillId="61" borderId="22" xfId="0" applyNumberFormat="1" applyFont="1" applyFill="1" applyBorder="1" applyAlignment="1">
      <alignment/>
    </xf>
    <xf numFmtId="0" fontId="70" fillId="0" borderId="0" xfId="106" applyFont="1">
      <alignment/>
      <protection/>
    </xf>
    <xf numFmtId="171" fontId="24" fillId="0" borderId="0" xfId="106" applyNumberFormat="1" applyFont="1" applyBorder="1" applyAlignment="1">
      <alignment horizontal="center"/>
      <protection/>
    </xf>
    <xf numFmtId="0" fontId="71" fillId="6" borderId="29" xfId="106" applyNumberFormat="1" applyFont="1" applyFill="1" applyBorder="1" applyAlignment="1">
      <alignment vertical="center" wrapText="1" readingOrder="1"/>
      <protection/>
    </xf>
    <xf numFmtId="0" fontId="71" fillId="6" borderId="33" xfId="106" applyNumberFormat="1" applyFont="1" applyFill="1" applyBorder="1" applyAlignment="1">
      <alignment horizontal="center" vertical="center" wrapText="1" readingOrder="1"/>
      <protection/>
    </xf>
    <xf numFmtId="0" fontId="23" fillId="6" borderId="52" xfId="106" applyFont="1" applyFill="1" applyBorder="1" applyAlignment="1">
      <alignment/>
      <protection/>
    </xf>
    <xf numFmtId="43" fontId="23" fillId="6" borderId="52" xfId="73" applyFont="1" applyFill="1" applyBorder="1" applyAlignment="1">
      <alignment/>
    </xf>
    <xf numFmtId="0" fontId="23" fillId="8" borderId="52" xfId="106" applyFont="1" applyFill="1" applyBorder="1" applyAlignment="1">
      <alignment/>
      <protection/>
    </xf>
    <xf numFmtId="43" fontId="200" fillId="0" borderId="0" xfId="0" applyNumberFormat="1" applyFont="1" applyAlignment="1">
      <alignment/>
    </xf>
    <xf numFmtId="0" fontId="23" fillId="2" borderId="52" xfId="106" applyFont="1" applyFill="1" applyBorder="1" applyAlignment="1">
      <alignment/>
      <protection/>
    </xf>
    <xf numFmtId="0" fontId="23" fillId="63" borderId="52" xfId="106" applyFont="1" applyFill="1" applyBorder="1" applyAlignment="1">
      <alignment wrapText="1"/>
      <protection/>
    </xf>
    <xf numFmtId="43" fontId="71" fillId="63" borderId="52" xfId="73" applyFont="1" applyFill="1" applyBorder="1" applyAlignment="1">
      <alignment/>
    </xf>
    <xf numFmtId="0" fontId="49" fillId="53" borderId="52" xfId="106" applyFont="1" applyFill="1" applyBorder="1" applyAlignment="1">
      <alignment/>
      <protection/>
    </xf>
    <xf numFmtId="43" fontId="233" fillId="53" borderId="52" xfId="73" applyFont="1" applyFill="1" applyBorder="1" applyAlignment="1">
      <alignment/>
    </xf>
    <xf numFmtId="43" fontId="233" fillId="53" borderId="52" xfId="73" applyFont="1" applyFill="1" applyBorder="1" applyAlignment="1">
      <alignment/>
    </xf>
    <xf numFmtId="0" fontId="49" fillId="53" borderId="53" xfId="106" applyFont="1" applyFill="1" applyBorder="1" applyAlignment="1">
      <alignment/>
      <protection/>
    </xf>
    <xf numFmtId="43" fontId="233" fillId="53" borderId="53" xfId="73" applyFont="1" applyFill="1" applyBorder="1" applyAlignment="1">
      <alignment/>
    </xf>
    <xf numFmtId="43" fontId="233" fillId="53" borderId="53" xfId="73" applyFont="1" applyFill="1" applyBorder="1" applyAlignment="1">
      <alignment/>
    </xf>
    <xf numFmtId="0" fontId="23" fillId="22" borderId="26" xfId="106" applyFont="1" applyFill="1" applyBorder="1" applyAlignment="1">
      <alignment/>
      <protection/>
    </xf>
    <xf numFmtId="43" fontId="23" fillId="22" borderId="26" xfId="73" applyFont="1" applyFill="1" applyBorder="1" applyAlignment="1">
      <alignment/>
    </xf>
    <xf numFmtId="0" fontId="232" fillId="0" borderId="0" xfId="0" applyFont="1" applyAlignment="1">
      <alignment/>
    </xf>
    <xf numFmtId="0" fontId="24" fillId="0" borderId="0" xfId="0" applyFont="1" applyFill="1" applyAlignment="1">
      <alignment vertical="center"/>
    </xf>
    <xf numFmtId="171" fontId="24" fillId="0" borderId="0" xfId="70" applyNumberFormat="1" applyFont="1" applyFill="1" applyAlignment="1">
      <alignment vertical="center"/>
    </xf>
    <xf numFmtId="171" fontId="70" fillId="0" borderId="0" xfId="70" applyNumberFormat="1" applyFont="1" applyFill="1" applyAlignment="1">
      <alignment/>
    </xf>
    <xf numFmtId="171" fontId="24" fillId="0" borderId="0" xfId="70" applyNumberFormat="1" applyFont="1" applyFill="1" applyAlignment="1">
      <alignment/>
    </xf>
    <xf numFmtId="0" fontId="24"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0" fontId="72" fillId="0" borderId="0" xfId="0" applyFont="1" applyFill="1" applyAlignment="1">
      <alignment vertical="center"/>
    </xf>
    <xf numFmtId="0" fontId="23" fillId="0" borderId="0" xfId="0" applyFont="1" applyFill="1" applyAlignment="1">
      <alignment vertical="center"/>
    </xf>
    <xf numFmtId="0" fontId="232" fillId="0" borderId="0" xfId="0" applyFont="1" applyBorder="1" applyAlignment="1">
      <alignment vertical="center"/>
    </xf>
    <xf numFmtId="0" fontId="200" fillId="0" borderId="0" xfId="0" applyFont="1" applyBorder="1" applyAlignment="1">
      <alignment horizontal="justify" vertical="center"/>
    </xf>
    <xf numFmtId="0" fontId="234" fillId="0" borderId="0" xfId="0" applyFont="1" applyAlignment="1" quotePrefix="1">
      <alignment/>
    </xf>
    <xf numFmtId="0" fontId="234" fillId="0" borderId="0" xfId="0" applyFont="1" applyAlignment="1">
      <alignment/>
    </xf>
    <xf numFmtId="49" fontId="59" fillId="0" borderId="0" xfId="107" applyNumberFormat="1" applyFont="1" applyAlignment="1">
      <alignment/>
      <protection/>
    </xf>
    <xf numFmtId="0" fontId="59" fillId="0" borderId="0" xfId="107" applyFont="1">
      <alignment/>
      <protection/>
    </xf>
    <xf numFmtId="0" fontId="206" fillId="0" borderId="0" xfId="0" applyFont="1" applyBorder="1" applyAlignment="1">
      <alignment vertical="center"/>
    </xf>
    <xf numFmtId="49" fontId="59" fillId="0" borderId="0" xfId="107" applyNumberFormat="1" applyFont="1" applyBorder="1" applyAlignment="1">
      <alignment/>
      <protection/>
    </xf>
    <xf numFmtId="49" fontId="59" fillId="0" borderId="0" xfId="107" applyNumberFormat="1" applyFont="1">
      <alignment/>
      <protection/>
    </xf>
    <xf numFmtId="0" fontId="232" fillId="0" borderId="0" xfId="0" applyFont="1" applyBorder="1" applyAlignment="1">
      <alignment horizontal="justify" vertical="center"/>
    </xf>
    <xf numFmtId="0" fontId="230" fillId="0" borderId="0" xfId="0" applyFont="1" applyBorder="1" applyAlignment="1">
      <alignment horizontal="justify" vertical="center"/>
    </xf>
    <xf numFmtId="0" fontId="226" fillId="0" borderId="0" xfId="0" applyFont="1" applyAlignment="1">
      <alignment horizontal="center"/>
    </xf>
    <xf numFmtId="0" fontId="200" fillId="0" borderId="23" xfId="0" applyFont="1" applyBorder="1" applyAlignment="1">
      <alignment/>
    </xf>
    <xf numFmtId="0" fontId="24" fillId="0" borderId="0" xfId="107" applyFont="1" applyBorder="1">
      <alignment/>
      <protection/>
    </xf>
    <xf numFmtId="0" fontId="200" fillId="0" borderId="54" xfId="0" applyFont="1" applyBorder="1" applyAlignment="1">
      <alignment/>
    </xf>
    <xf numFmtId="0" fontId="200" fillId="0" borderId="55" xfId="0" applyFont="1" applyBorder="1" applyAlignment="1">
      <alignment/>
    </xf>
    <xf numFmtId="49" fontId="24" fillId="0" borderId="0" xfId="107" applyNumberFormat="1" applyFont="1">
      <alignment/>
      <protection/>
    </xf>
    <xf numFmtId="0" fontId="206" fillId="0" borderId="0" xfId="0" applyFont="1" applyAlignment="1">
      <alignment horizontal="justify" vertical="top"/>
    </xf>
    <xf numFmtId="0" fontId="226" fillId="0" borderId="0" xfId="0" applyFont="1" applyAlignment="1" quotePrefix="1">
      <alignment/>
    </xf>
    <xf numFmtId="0" fontId="226" fillId="0" borderId="0" xfId="0" applyFont="1" applyAlignment="1">
      <alignment/>
    </xf>
    <xf numFmtId="0" fontId="200" fillId="0" borderId="56" xfId="0" applyFont="1" applyBorder="1" applyAlignment="1">
      <alignment/>
    </xf>
    <xf numFmtId="0" fontId="232" fillId="0" borderId="56" xfId="0" applyNumberFormat="1" applyFont="1" applyBorder="1" applyAlignment="1">
      <alignment horizontal="center"/>
    </xf>
    <xf numFmtId="0" fontId="200" fillId="0" borderId="56" xfId="0" applyFont="1" applyBorder="1" applyAlignment="1">
      <alignment/>
    </xf>
    <xf numFmtId="0" fontId="235" fillId="0" borderId="0" xfId="0" applyFont="1" applyAlignment="1">
      <alignment/>
    </xf>
    <xf numFmtId="0" fontId="200" fillId="0" borderId="23" xfId="0" applyFont="1" applyBorder="1" applyAlignment="1">
      <alignment/>
    </xf>
    <xf numFmtId="0" fontId="200" fillId="0" borderId="0" xfId="0" applyFont="1" applyAlignment="1">
      <alignment horizontal="justify" vertical="top"/>
    </xf>
    <xf numFmtId="43" fontId="0" fillId="0" borderId="0" xfId="0" applyNumberFormat="1" applyAlignment="1">
      <alignment vertical="center"/>
    </xf>
    <xf numFmtId="0" fontId="211" fillId="0" borderId="22" xfId="0" applyFont="1" applyFill="1" applyBorder="1" applyAlignment="1">
      <alignment vertical="top" wrapText="1"/>
    </xf>
    <xf numFmtId="43" fontId="220" fillId="0" borderId="22" xfId="70" applyNumberFormat="1" applyFont="1" applyFill="1" applyBorder="1" applyAlignment="1">
      <alignment vertical="top"/>
    </xf>
    <xf numFmtId="39" fontId="66" fillId="0" borderId="22" xfId="70" applyNumberFormat="1" applyFont="1" applyFill="1" applyBorder="1" applyAlignment="1">
      <alignment vertical="top"/>
    </xf>
    <xf numFmtId="0" fontId="69" fillId="0" borderId="25" xfId="0" applyFont="1" applyFill="1" applyBorder="1" applyAlignment="1">
      <alignment horizontal="center"/>
    </xf>
    <xf numFmtId="0" fontId="69" fillId="0" borderId="20" xfId="0" applyFont="1" applyFill="1" applyBorder="1" applyAlignment="1">
      <alignment/>
    </xf>
    <xf numFmtId="171" fontId="221" fillId="0" borderId="22" xfId="0" applyNumberFormat="1" applyFont="1" applyFill="1" applyBorder="1" applyAlignment="1">
      <alignment/>
    </xf>
    <xf numFmtId="171" fontId="221" fillId="0" borderId="21" xfId="0" applyNumberFormat="1" applyFont="1" applyFill="1" applyBorder="1" applyAlignment="1">
      <alignment/>
    </xf>
    <xf numFmtId="2" fontId="207" fillId="0" borderId="22" xfId="0" applyNumberFormat="1" applyFont="1" applyBorder="1" applyAlignment="1">
      <alignment horizontal="center" vertical="center"/>
    </xf>
    <xf numFmtId="171" fontId="207" fillId="0" borderId="22" xfId="0" applyNumberFormat="1" applyFont="1" applyBorder="1" applyAlignment="1">
      <alignment/>
    </xf>
    <xf numFmtId="0" fontId="68" fillId="0" borderId="0" xfId="0" applyFont="1" applyFill="1" applyBorder="1" applyAlignment="1">
      <alignment horizontal="center"/>
    </xf>
    <xf numFmtId="0" fontId="207" fillId="0" borderId="22" xfId="0" applyFont="1" applyBorder="1" applyAlignment="1">
      <alignment/>
    </xf>
    <xf numFmtId="171" fontId="68" fillId="58" borderId="22" xfId="70" applyNumberFormat="1" applyFont="1" applyFill="1" applyBorder="1" applyAlignment="1">
      <alignment horizontal="right"/>
    </xf>
    <xf numFmtId="0" fontId="207" fillId="0" borderId="22" xfId="0" applyFont="1" applyBorder="1" applyAlignment="1">
      <alignment horizontal="center" vertical="center"/>
    </xf>
    <xf numFmtId="171" fontId="209" fillId="58" borderId="22" xfId="0" applyNumberFormat="1" applyFont="1" applyFill="1" applyBorder="1" applyAlignment="1">
      <alignment/>
    </xf>
    <xf numFmtId="0" fontId="211" fillId="58" borderId="22" xfId="0" applyFont="1" applyFill="1" applyBorder="1" applyAlignment="1">
      <alignment/>
    </xf>
    <xf numFmtId="2" fontId="207" fillId="58" borderId="22" xfId="0" applyNumberFormat="1" applyFont="1" applyFill="1" applyBorder="1" applyAlignment="1">
      <alignment horizontal="center" vertical="center"/>
    </xf>
    <xf numFmtId="171" fontId="207" fillId="58" borderId="22" xfId="0" applyNumberFormat="1" applyFont="1" applyFill="1" applyBorder="1" applyAlignment="1">
      <alignment/>
    </xf>
    <xf numFmtId="0" fontId="232" fillId="0" borderId="0" xfId="0" applyFont="1" applyBorder="1" applyAlignment="1">
      <alignment horizontal="left" vertical="center"/>
    </xf>
    <xf numFmtId="0" fontId="200" fillId="0" borderId="0" xfId="0" applyFont="1" applyBorder="1" applyAlignment="1">
      <alignment horizontal="right" vertical="center"/>
    </xf>
    <xf numFmtId="43" fontId="207" fillId="0" borderId="0" xfId="69" applyFont="1" applyAlignment="1">
      <alignment/>
    </xf>
    <xf numFmtId="43" fontId="210" fillId="0" borderId="0" xfId="69" applyFont="1" applyAlignment="1">
      <alignment/>
    </xf>
    <xf numFmtId="0" fontId="217" fillId="0" borderId="20" xfId="0" applyFont="1" applyFill="1" applyBorder="1" applyAlignment="1">
      <alignment wrapText="1"/>
    </xf>
    <xf numFmtId="43" fontId="209" fillId="0" borderId="0" xfId="0" applyNumberFormat="1" applyFont="1" applyAlignment="1">
      <alignment/>
    </xf>
    <xf numFmtId="0" fontId="54" fillId="0" borderId="0" xfId="0" applyFont="1" applyBorder="1" applyAlignment="1">
      <alignment/>
    </xf>
    <xf numFmtId="0" fontId="54" fillId="0" borderId="0" xfId="0" applyFont="1" applyFill="1" applyBorder="1" applyAlignment="1">
      <alignment/>
    </xf>
    <xf numFmtId="173" fontId="54" fillId="6" borderId="0" xfId="0" applyNumberFormat="1" applyFont="1" applyFill="1" applyBorder="1" applyAlignment="1">
      <alignment vertical="top" wrapText="1"/>
    </xf>
    <xf numFmtId="171" fontId="54" fillId="6" borderId="0" xfId="70" applyNumberFormat="1" applyFont="1" applyFill="1" applyBorder="1" applyAlignment="1">
      <alignment/>
    </xf>
    <xf numFmtId="0" fontId="209" fillId="0" borderId="0" xfId="0" applyFont="1" applyFill="1" applyBorder="1" applyAlignment="1">
      <alignment horizontal="center"/>
    </xf>
    <xf numFmtId="173" fontId="54" fillId="0" borderId="0" xfId="0" applyNumberFormat="1" applyFont="1" applyFill="1" applyBorder="1" applyAlignment="1">
      <alignment vertical="top" wrapText="1"/>
    </xf>
    <xf numFmtId="171" fontId="54" fillId="0" borderId="0" xfId="70" applyNumberFormat="1" applyFont="1" applyFill="1" applyBorder="1" applyAlignment="1">
      <alignment/>
    </xf>
    <xf numFmtId="43" fontId="209" fillId="0" borderId="0" xfId="69" applyFont="1" applyFill="1" applyBorder="1" applyAlignment="1">
      <alignment/>
    </xf>
    <xf numFmtId="43" fontId="236" fillId="6" borderId="52" xfId="73" applyFont="1" applyFill="1" applyBorder="1" applyAlignment="1">
      <alignment/>
    </xf>
    <xf numFmtId="43" fontId="236" fillId="8" borderId="52" xfId="73" applyFont="1" applyFill="1" applyBorder="1" applyAlignment="1">
      <alignment/>
    </xf>
    <xf numFmtId="43" fontId="236" fillId="2" borderId="52" xfId="73" applyFont="1" applyFill="1" applyBorder="1" applyAlignment="1">
      <alignment/>
    </xf>
    <xf numFmtId="43" fontId="236" fillId="8" borderId="52" xfId="73" applyFont="1" applyFill="1" applyBorder="1" applyAlignment="1">
      <alignment/>
    </xf>
    <xf numFmtId="43" fontId="236" fillId="2" borderId="52" xfId="73" applyFont="1" applyFill="1" applyBorder="1" applyAlignment="1">
      <alignment/>
    </xf>
    <xf numFmtId="0" fontId="201" fillId="0" borderId="0" xfId="0" applyFont="1" applyAlignment="1" quotePrefix="1">
      <alignment/>
    </xf>
    <xf numFmtId="0" fontId="186" fillId="0" borderId="0" xfId="0" applyFont="1" applyFill="1" applyBorder="1" applyAlignment="1">
      <alignment horizontal="left" vertical="top" wrapText="1"/>
    </xf>
    <xf numFmtId="0" fontId="186" fillId="0" borderId="20" xfId="0" applyFont="1" applyFill="1" applyBorder="1" applyAlignment="1">
      <alignment horizontal="left" vertical="center" wrapText="1"/>
    </xf>
    <xf numFmtId="0" fontId="190" fillId="0" borderId="0" xfId="0" applyFont="1" applyFill="1" applyAlignment="1">
      <alignment horizontal="left" vertical="center" wrapText="1"/>
    </xf>
    <xf numFmtId="41" fontId="186" fillId="0" borderId="0" xfId="0" applyNumberFormat="1" applyFont="1" applyFill="1" applyBorder="1" applyAlignment="1">
      <alignment horizontal="center" vertical="center" wrapText="1"/>
    </xf>
    <xf numFmtId="0" fontId="26" fillId="0" borderId="0" xfId="0" applyFont="1" applyFill="1" applyAlignment="1">
      <alignment horizontal="left" vertical="top" wrapText="1"/>
    </xf>
    <xf numFmtId="0" fontId="190" fillId="0" borderId="0" xfId="0" applyFont="1" applyFill="1" applyBorder="1" applyAlignment="1">
      <alignment horizontal="left" vertical="top"/>
    </xf>
    <xf numFmtId="41" fontId="188" fillId="0" borderId="0" xfId="0" applyNumberFormat="1" applyFont="1" applyFill="1" applyBorder="1" applyAlignment="1">
      <alignment horizontal="center" vertical="center" wrapText="1"/>
    </xf>
    <xf numFmtId="0" fontId="200" fillId="0" borderId="0" xfId="0" applyFont="1" applyFill="1" applyAlignment="1">
      <alignment horizontal="justify" vertical="top" wrapText="1"/>
    </xf>
    <xf numFmtId="0" fontId="186" fillId="0" borderId="20" xfId="0" applyFont="1" applyFill="1" applyBorder="1" applyAlignment="1">
      <alignment horizontal="center" vertical="center"/>
    </xf>
    <xf numFmtId="0" fontId="237" fillId="0" borderId="0" xfId="0" applyFont="1" applyFill="1" applyBorder="1" applyAlignment="1">
      <alignment horizontal="center" vertical="center" wrapText="1" readingOrder="1"/>
    </xf>
    <xf numFmtId="171" fontId="238" fillId="0" borderId="0" xfId="70" applyNumberFormat="1" applyFont="1" applyFill="1" applyBorder="1" applyAlignment="1">
      <alignment horizontal="left" vertical="top" wrapText="1"/>
    </xf>
    <xf numFmtId="0" fontId="196" fillId="0" borderId="0" xfId="0" applyFont="1" applyFill="1" applyBorder="1" applyAlignment="1">
      <alignment horizontal="left" vertical="top"/>
    </xf>
    <xf numFmtId="0" fontId="25" fillId="0" borderId="0" xfId="0" applyFont="1" applyFill="1" applyAlignment="1">
      <alignment horizontal="left" vertical="top" wrapText="1"/>
    </xf>
    <xf numFmtId="0" fontId="201" fillId="0" borderId="0" xfId="0" applyFont="1" applyFill="1" applyAlignment="1">
      <alignment/>
    </xf>
    <xf numFmtId="0" fontId="200" fillId="0" borderId="0" xfId="0" applyFont="1" applyFill="1" applyAlignment="1">
      <alignment/>
    </xf>
    <xf numFmtId="0" fontId="227" fillId="0" borderId="0" xfId="0" applyFont="1" applyFill="1" applyAlignment="1">
      <alignment/>
    </xf>
    <xf numFmtId="0" fontId="25" fillId="0" borderId="0" xfId="0" applyFont="1" applyFill="1" applyAlignment="1">
      <alignment/>
    </xf>
    <xf numFmtId="0" fontId="26" fillId="0" borderId="0" xfId="0" applyFont="1" applyFill="1" applyAlignment="1" quotePrefix="1">
      <alignment vertical="top"/>
    </xf>
    <xf numFmtId="0" fontId="26" fillId="0" borderId="0" xfId="0" applyFont="1" applyFill="1" applyAlignment="1">
      <alignment vertical="top"/>
    </xf>
    <xf numFmtId="0" fontId="26" fillId="0" borderId="0" xfId="0" applyFont="1" applyFill="1" applyAlignment="1">
      <alignment vertical="top" wrapText="1"/>
    </xf>
    <xf numFmtId="0" fontId="239" fillId="0" borderId="0" xfId="0" applyFont="1" applyFill="1" applyAlignment="1" quotePrefix="1">
      <alignment vertical="top"/>
    </xf>
    <xf numFmtId="0" fontId="239" fillId="0" borderId="0" xfId="0" applyFont="1" applyFill="1" applyAlignment="1">
      <alignment vertical="top"/>
    </xf>
    <xf numFmtId="0" fontId="186" fillId="0" borderId="0" xfId="0" applyFont="1" applyFill="1" applyAlignment="1" quotePrefix="1">
      <alignment horizontal="justify" vertical="top"/>
    </xf>
    <xf numFmtId="0" fontId="200" fillId="0" borderId="0" xfId="0" applyFont="1" applyFill="1" applyAlignment="1" quotePrefix="1">
      <alignment/>
    </xf>
    <xf numFmtId="0" fontId="240" fillId="0" borderId="0" xfId="0" applyFont="1" applyFill="1" applyAlignment="1">
      <alignment vertical="top"/>
    </xf>
    <xf numFmtId="0" fontId="200" fillId="0" borderId="0" xfId="0" applyFont="1" applyFill="1" applyAlignment="1" quotePrefix="1">
      <alignment vertical="top"/>
    </xf>
    <xf numFmtId="0" fontId="240" fillId="0" borderId="0" xfId="0" applyFont="1" applyFill="1" applyAlignment="1">
      <alignment/>
    </xf>
    <xf numFmtId="0" fontId="190" fillId="0" borderId="0" xfId="0" applyFont="1" applyFill="1" applyAlignment="1">
      <alignment vertical="center"/>
    </xf>
    <xf numFmtId="0" fontId="25" fillId="0" borderId="0" xfId="0" applyFont="1" applyFill="1" applyAlignment="1">
      <alignment horizontal="justify" vertical="top" wrapText="1"/>
    </xf>
    <xf numFmtId="0" fontId="25" fillId="0" borderId="0" xfId="0" applyFont="1" applyFill="1" applyAlignment="1">
      <alignment vertical="top" wrapText="1"/>
    </xf>
    <xf numFmtId="0" fontId="239" fillId="0" borderId="0" xfId="0" applyFont="1" applyFill="1" applyAlignment="1">
      <alignment horizontal="justify" vertical="top"/>
    </xf>
    <xf numFmtId="0" fontId="200" fillId="0" borderId="0" xfId="0" applyFont="1" applyFill="1" applyAlignment="1">
      <alignment vertical="top" wrapText="1"/>
    </xf>
    <xf numFmtId="0" fontId="26" fillId="0" borderId="0" xfId="0" applyFont="1" applyFill="1" applyAlignment="1" quotePrefix="1">
      <alignment horizontal="justify" vertical="top"/>
    </xf>
    <xf numFmtId="0" fontId="26" fillId="0" borderId="0" xfId="0" applyFont="1" applyFill="1" applyAlignment="1">
      <alignment horizontal="justify" vertical="top" wrapText="1"/>
    </xf>
    <xf numFmtId="0" fontId="240" fillId="0" borderId="0" xfId="0" applyFont="1" applyFill="1" applyAlignment="1">
      <alignment vertical="top" wrapText="1"/>
    </xf>
    <xf numFmtId="0" fontId="200" fillId="0" borderId="0" xfId="0" applyFont="1" applyFill="1" applyAlignment="1">
      <alignment horizontal="center" vertical="top"/>
    </xf>
    <xf numFmtId="0" fontId="25" fillId="0" borderId="0" xfId="0" applyFont="1" applyFill="1" applyAlignment="1">
      <alignment horizontal="center" vertical="top"/>
    </xf>
    <xf numFmtId="0" fontId="190" fillId="0" borderId="0" xfId="0" applyFont="1" applyFill="1" applyAlignment="1" quotePrefix="1">
      <alignment vertical="top"/>
    </xf>
    <xf numFmtId="0" fontId="232" fillId="0" borderId="0" xfId="0" applyFont="1" applyFill="1" applyAlignment="1">
      <alignment vertical="top" wrapText="1"/>
    </xf>
    <xf numFmtId="0" fontId="201" fillId="0" borderId="0" xfId="0" applyFont="1" applyFill="1" applyAlignment="1">
      <alignment horizontal="justify" vertical="top" wrapText="1"/>
    </xf>
    <xf numFmtId="0" fontId="227" fillId="0" borderId="0" xfId="0" applyFont="1" applyFill="1" applyAlignment="1">
      <alignment vertical="top"/>
    </xf>
    <xf numFmtId="0" fontId="21" fillId="0" borderId="0" xfId="0" applyFont="1" applyFill="1" applyAlignment="1">
      <alignment vertical="top"/>
    </xf>
    <xf numFmtId="0" fontId="25" fillId="0" borderId="0" xfId="0" applyFont="1" applyFill="1" applyAlignment="1">
      <alignment vertical="top"/>
    </xf>
    <xf numFmtId="0" fontId="25" fillId="0" borderId="0" xfId="0" applyFont="1" applyFill="1" applyAlignment="1" quotePrefix="1">
      <alignment vertical="top"/>
    </xf>
    <xf numFmtId="0" fontId="43" fillId="0" borderId="0" xfId="0" applyFont="1" applyFill="1" applyAlignment="1">
      <alignment horizontal="left" vertical="top" wrapText="1"/>
    </xf>
    <xf numFmtId="0" fontId="25" fillId="0" borderId="0" xfId="0" applyNumberFormat="1" applyFont="1" applyFill="1" applyAlignment="1">
      <alignment horizontal="justify" vertical="center" wrapText="1"/>
    </xf>
    <xf numFmtId="0" fontId="191" fillId="0" borderId="31" xfId="0" applyFont="1" applyFill="1" applyBorder="1" applyAlignment="1">
      <alignment vertical="top"/>
    </xf>
    <xf numFmtId="0" fontId="186" fillId="0" borderId="56" xfId="0" applyFont="1" applyFill="1" applyBorder="1" applyAlignment="1">
      <alignment vertical="top"/>
    </xf>
    <xf numFmtId="0" fontId="191" fillId="0" borderId="21" xfId="0" applyFont="1" applyFill="1" applyBorder="1" applyAlignment="1">
      <alignment vertical="top"/>
    </xf>
    <xf numFmtId="0" fontId="186" fillId="0" borderId="20" xfId="0" applyFont="1" applyFill="1" applyBorder="1" applyAlignment="1">
      <alignment vertical="top"/>
    </xf>
    <xf numFmtId="0" fontId="190" fillId="0" borderId="21" xfId="0" applyFont="1" applyFill="1" applyBorder="1" applyAlignment="1">
      <alignment vertical="top"/>
    </xf>
    <xf numFmtId="0" fontId="190" fillId="0" borderId="20" xfId="0" applyFont="1" applyFill="1" applyBorder="1" applyAlignment="1">
      <alignment vertical="top"/>
    </xf>
    <xf numFmtId="0" fontId="191" fillId="0" borderId="20" xfId="0" applyFont="1" applyFill="1" applyBorder="1" applyAlignment="1">
      <alignment vertical="top"/>
    </xf>
    <xf numFmtId="0" fontId="186" fillId="0" borderId="0" xfId="0" applyNumberFormat="1" applyFont="1" applyFill="1" applyAlignment="1">
      <alignment horizontal="justify" vertical="center" wrapText="1"/>
    </xf>
    <xf numFmtId="0" fontId="241" fillId="0" borderId="0" xfId="0" applyNumberFormat="1" applyFont="1" applyFill="1" applyAlignment="1">
      <alignment horizontal="justify" vertical="center" wrapText="1"/>
    </xf>
    <xf numFmtId="171" fontId="188" fillId="0" borderId="0" xfId="70" applyNumberFormat="1" applyFont="1" applyFill="1" applyBorder="1" applyAlignment="1">
      <alignment horizontal="center" vertical="top"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top" wrapText="1"/>
    </xf>
    <xf numFmtId="0" fontId="225" fillId="0" borderId="0" xfId="0" applyFont="1" applyFill="1" applyBorder="1" applyAlignment="1">
      <alignment horizontal="center" vertical="top"/>
    </xf>
    <xf numFmtId="43" fontId="186" fillId="0" borderId="0" xfId="0" applyNumberFormat="1" applyFont="1" applyFill="1" applyAlignment="1">
      <alignment vertical="top"/>
    </xf>
    <xf numFmtId="0" fontId="26" fillId="0" borderId="0" xfId="0" applyFont="1" applyFill="1" applyAlignment="1">
      <alignment horizontal="center" vertical="top" wrapText="1"/>
    </xf>
    <xf numFmtId="0" fontId="26" fillId="0" borderId="0" xfId="0" applyFont="1" applyFill="1" applyBorder="1" applyAlignment="1">
      <alignment horizontal="left" vertical="top"/>
    </xf>
    <xf numFmtId="0" fontId="192" fillId="0" borderId="0" xfId="0" applyFont="1" applyFill="1" applyAlignment="1">
      <alignment horizontal="right" vertical="center"/>
    </xf>
    <xf numFmtId="0" fontId="201" fillId="0" borderId="0" xfId="0" applyFont="1" applyFill="1" applyAlignment="1">
      <alignment vertical="center"/>
    </xf>
    <xf numFmtId="0" fontId="186" fillId="0" borderId="0" xfId="0" applyFont="1" applyFill="1" applyAlignment="1">
      <alignment vertical="center"/>
    </xf>
    <xf numFmtId="0" fontId="240" fillId="0" borderId="0" xfId="0" applyFont="1" applyFill="1" applyAlignment="1">
      <alignment horizontal="left" vertical="top"/>
    </xf>
    <xf numFmtId="0" fontId="186" fillId="0" borderId="0" xfId="0" applyFont="1" applyFill="1" applyAlignment="1" quotePrefix="1">
      <alignment vertical="top"/>
    </xf>
    <xf numFmtId="0" fontId="190" fillId="0" borderId="0" xfId="0" applyFont="1" applyFill="1" applyAlignment="1" quotePrefix="1">
      <alignment horizontal="justify" vertical="top" wrapText="1"/>
    </xf>
    <xf numFmtId="0" fontId="186" fillId="0" borderId="0" xfId="0" applyNumberFormat="1" applyFont="1" applyFill="1" applyAlignment="1">
      <alignment horizontal="justify" vertical="top" wrapText="1"/>
    </xf>
    <xf numFmtId="0" fontId="186" fillId="0" borderId="0" xfId="0" applyNumberFormat="1" applyFont="1" applyFill="1" applyAlignment="1">
      <alignment vertical="top" wrapText="1"/>
    </xf>
    <xf numFmtId="0" fontId="190" fillId="0" borderId="0" xfId="0" applyNumberFormat="1" applyFont="1" applyFill="1" applyBorder="1" applyAlignment="1">
      <alignment horizontal="center" vertical="center" wrapText="1"/>
    </xf>
    <xf numFmtId="0" fontId="188" fillId="0" borderId="0" xfId="0" applyNumberFormat="1" applyFont="1" applyFill="1" applyAlignment="1">
      <alignment horizontal="left" vertical="center" wrapText="1"/>
    </xf>
    <xf numFmtId="0" fontId="240" fillId="0" borderId="0" xfId="0" applyFont="1" applyFill="1" applyAlignment="1">
      <alignment vertical="center"/>
    </xf>
    <xf numFmtId="0" fontId="200" fillId="0" borderId="0" xfId="0" applyFont="1" applyFill="1" applyAlignment="1">
      <alignment vertical="center"/>
    </xf>
    <xf numFmtId="0" fontId="190" fillId="0" borderId="0" xfId="0" applyFont="1" applyFill="1" applyAlignment="1" quotePrefix="1">
      <alignment horizontal="justify" vertical="center" wrapText="1"/>
    </xf>
    <xf numFmtId="0" fontId="186" fillId="0" borderId="0" xfId="0" applyFont="1" applyFill="1" applyAlignment="1" quotePrefix="1">
      <alignment horizontal="justify" vertical="top" wrapText="1"/>
    </xf>
    <xf numFmtId="0" fontId="186" fillId="0" borderId="0" xfId="0" applyFont="1" applyFill="1" applyBorder="1" applyAlignment="1">
      <alignment horizontal="justify" vertical="top" wrapText="1"/>
    </xf>
    <xf numFmtId="0" fontId="192" fillId="0" borderId="0" xfId="0" applyFont="1" applyFill="1" applyAlignment="1">
      <alignment horizontal="center" vertical="top"/>
    </xf>
    <xf numFmtId="0" fontId="200" fillId="0" borderId="19" xfId="0" applyFont="1" applyFill="1" applyBorder="1" applyAlignment="1">
      <alignment vertical="top"/>
    </xf>
    <xf numFmtId="0" fontId="225" fillId="0" borderId="0" xfId="0" applyFont="1" applyFill="1" applyAlignment="1" quotePrefix="1">
      <alignment vertical="top"/>
    </xf>
    <xf numFmtId="171" fontId="196" fillId="0" borderId="0" xfId="70" applyNumberFormat="1" applyFont="1" applyFill="1" applyBorder="1" applyAlignment="1">
      <alignment horizontal="center" vertical="center" wrapText="1"/>
    </xf>
    <xf numFmtId="0" fontId="225" fillId="0" borderId="0" xfId="0" applyFont="1" applyFill="1" applyAlignment="1">
      <alignment vertical="top"/>
    </xf>
    <xf numFmtId="0" fontId="225" fillId="0" borderId="0" xfId="0" applyFont="1" applyFill="1" applyBorder="1" applyAlignment="1">
      <alignment horizontal="justify" vertical="top" wrapText="1"/>
    </xf>
    <xf numFmtId="168" fontId="186" fillId="0" borderId="0" xfId="0" applyNumberFormat="1" applyFont="1" applyFill="1" applyBorder="1" applyAlignment="1">
      <alignment horizontal="center" vertical="center" wrapText="1"/>
    </xf>
    <xf numFmtId="0" fontId="186" fillId="0" borderId="0" xfId="0"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2" fillId="0" borderId="0" xfId="0" applyFont="1" applyFill="1" applyAlignment="1">
      <alignment vertical="top"/>
    </xf>
    <xf numFmtId="41" fontId="28" fillId="0" borderId="0" xfId="0" applyNumberFormat="1" applyFont="1" applyFill="1" applyBorder="1" applyAlignment="1">
      <alignment horizontal="center" vertical="top" wrapText="1"/>
    </xf>
    <xf numFmtId="0" fontId="201" fillId="0" borderId="0" xfId="0" applyFont="1" applyFill="1" applyAlignment="1">
      <alignment vertical="top"/>
    </xf>
    <xf numFmtId="171" fontId="21" fillId="0" borderId="0" xfId="70" applyNumberFormat="1" applyFont="1" applyFill="1" applyBorder="1" applyAlignment="1">
      <alignment vertical="center" wrapText="1"/>
    </xf>
    <xf numFmtId="0" fontId="200" fillId="0" borderId="0" xfId="0" applyFont="1" applyFill="1" applyBorder="1" applyAlignment="1">
      <alignment vertical="top" wrapText="1"/>
    </xf>
    <xf numFmtId="0" fontId="225" fillId="0" borderId="0" xfId="0" applyFont="1" applyFill="1" applyAlignment="1">
      <alignment horizontal="justify" vertical="top" wrapText="1"/>
    </xf>
    <xf numFmtId="0" fontId="186" fillId="0" borderId="0" xfId="0" applyFont="1" applyFill="1" applyAlignment="1">
      <alignment horizontal="left" vertical="top"/>
    </xf>
    <xf numFmtId="0" fontId="188" fillId="0" borderId="0" xfId="0" applyFont="1" applyFill="1" applyBorder="1" applyAlignment="1">
      <alignment horizontal="left" vertical="top" wrapText="1"/>
    </xf>
    <xf numFmtId="0" fontId="186" fillId="0" borderId="0" xfId="0" applyFont="1" applyFill="1" applyAlignment="1">
      <alignment horizontal="left" vertical="top" wrapText="1"/>
    </xf>
    <xf numFmtId="0" fontId="186" fillId="0" borderId="0" xfId="0" applyFont="1" applyFill="1" applyAlignment="1" quotePrefix="1">
      <alignment horizontal="left" vertical="top"/>
    </xf>
    <xf numFmtId="0" fontId="233" fillId="0" borderId="0" xfId="0" applyFont="1" applyFill="1" applyBorder="1" applyAlignment="1">
      <alignment horizontal="left" vertical="top" wrapText="1"/>
    </xf>
    <xf numFmtId="0" fontId="25" fillId="0" borderId="0" xfId="0" applyFont="1" applyFill="1" applyBorder="1" applyAlignment="1">
      <alignment horizontal="justify" vertical="top" wrapText="1"/>
    </xf>
    <xf numFmtId="1" fontId="25"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225" fillId="0" borderId="0" xfId="0" applyFont="1" applyFill="1" applyBorder="1" applyAlignment="1">
      <alignment horizontal="center" vertical="center" wrapText="1"/>
    </xf>
    <xf numFmtId="0" fontId="242" fillId="0" borderId="0" xfId="0" applyFont="1" applyFill="1" applyBorder="1" applyAlignment="1">
      <alignment horizontal="justify" vertical="top" wrapText="1"/>
    </xf>
    <xf numFmtId="0" fontId="186" fillId="0" borderId="0" xfId="0" applyFont="1" applyFill="1" applyBorder="1" applyAlignment="1">
      <alignment horizontal="left" vertical="center" wrapText="1"/>
    </xf>
    <xf numFmtId="0" fontId="191" fillId="0" borderId="23" xfId="0" applyFont="1" applyFill="1" applyBorder="1" applyAlignment="1">
      <alignment vertical="top" wrapText="1"/>
    </xf>
    <xf numFmtId="41" fontId="25" fillId="0" borderId="0" xfId="0" applyNumberFormat="1" applyFont="1" applyFill="1" applyBorder="1" applyAlignment="1">
      <alignment horizontal="center" vertical="top" wrapText="1"/>
    </xf>
    <xf numFmtId="0" fontId="190" fillId="0" borderId="0" xfId="0" applyFont="1" applyFill="1" applyAlignment="1">
      <alignment vertical="top" wrapText="1"/>
    </xf>
    <xf numFmtId="41" fontId="24" fillId="0" borderId="0" xfId="0" applyNumberFormat="1" applyFont="1" applyFill="1" applyBorder="1" applyAlignment="1">
      <alignment horizontal="center" vertical="top" wrapText="1"/>
    </xf>
    <xf numFmtId="0" fontId="239" fillId="0" borderId="0" xfId="0" applyFont="1" applyFill="1" applyAlignment="1">
      <alignment horizontal="center" vertical="top" wrapText="1"/>
    </xf>
    <xf numFmtId="0" fontId="23" fillId="0" borderId="0" xfId="0" applyFont="1" applyFill="1" applyAlignment="1" quotePrefix="1">
      <alignment vertical="top"/>
    </xf>
    <xf numFmtId="0" fontId="24" fillId="0" borderId="0" xfId="0" applyFont="1" applyFill="1" applyAlignment="1" quotePrefix="1">
      <alignment vertical="top"/>
    </xf>
    <xf numFmtId="0" fontId="243" fillId="0" borderId="0" xfId="0" applyFont="1" applyFill="1" applyAlignment="1" quotePrefix="1">
      <alignment vertical="top"/>
    </xf>
    <xf numFmtId="0" fontId="202" fillId="0" borderId="0" xfId="0" applyFont="1" applyFill="1" applyAlignment="1">
      <alignment horizontal="left" vertical="top" wrapText="1"/>
    </xf>
    <xf numFmtId="0" fontId="23" fillId="0" borderId="0" xfId="0" applyFont="1" applyFill="1" applyAlignment="1">
      <alignment vertical="top"/>
    </xf>
    <xf numFmtId="0" fontId="188" fillId="0" borderId="0" xfId="0" applyFont="1" applyFill="1" applyBorder="1" applyAlignment="1">
      <alignment vertical="center" wrapText="1"/>
    </xf>
    <xf numFmtId="0" fontId="25" fillId="0" borderId="0" xfId="0" applyFont="1" applyFill="1" applyBorder="1" applyAlignment="1">
      <alignment vertical="top" wrapText="1"/>
    </xf>
    <xf numFmtId="0" fontId="190" fillId="0" borderId="22" xfId="0" applyFont="1" applyFill="1" applyBorder="1" applyAlignment="1">
      <alignment horizontal="center" vertical="center"/>
    </xf>
    <xf numFmtId="0" fontId="186" fillId="0" borderId="22" xfId="0" applyFont="1" applyFill="1" applyBorder="1" applyAlignment="1">
      <alignment horizontal="center" vertical="top" wrapText="1"/>
    </xf>
    <xf numFmtId="0" fontId="239" fillId="0" borderId="0" xfId="0" applyFont="1" applyFill="1" applyAlignment="1">
      <alignment horizontal="left" vertical="top" wrapText="1"/>
    </xf>
    <xf numFmtId="0" fontId="239" fillId="0" borderId="0" xfId="0" applyFont="1" applyFill="1" applyAlignment="1">
      <alignment horizontal="justify" vertical="top" wrapText="1"/>
    </xf>
    <xf numFmtId="0" fontId="23" fillId="0" borderId="0" xfId="0" applyFont="1" applyFill="1" applyAlignment="1" quotePrefix="1">
      <alignment horizontal="justify" vertical="top" wrapText="1"/>
    </xf>
    <xf numFmtId="0" fontId="195" fillId="0" borderId="25" xfId="0" applyFont="1" applyFill="1" applyBorder="1" applyAlignment="1">
      <alignment horizontal="left" vertical="top" wrapText="1"/>
    </xf>
    <xf numFmtId="0" fontId="204" fillId="0" borderId="22" xfId="0" applyFont="1" applyFill="1" applyBorder="1" applyAlignment="1">
      <alignment horizontal="center" vertical="center"/>
    </xf>
    <xf numFmtId="0" fontId="186" fillId="0" borderId="23" xfId="0" applyFont="1" applyFill="1" applyBorder="1" applyAlignment="1">
      <alignment vertical="top" wrapText="1"/>
    </xf>
    <xf numFmtId="0" fontId="189" fillId="0" borderId="22" xfId="0" applyFont="1" applyFill="1" applyBorder="1" applyAlignment="1">
      <alignment horizontal="center" vertical="center"/>
    </xf>
    <xf numFmtId="0" fontId="204" fillId="0" borderId="22" xfId="0" applyFont="1" applyFill="1" applyBorder="1" applyAlignment="1">
      <alignment horizontal="center"/>
    </xf>
    <xf numFmtId="0" fontId="186" fillId="0" borderId="0" xfId="0" applyFont="1" applyFill="1" applyBorder="1" applyAlignment="1" quotePrefix="1">
      <alignment horizontal="justify" vertical="top" wrapText="1"/>
    </xf>
    <xf numFmtId="0" fontId="195" fillId="0" borderId="25" xfId="0" applyFont="1" applyFill="1" applyBorder="1" applyAlignment="1">
      <alignment vertical="top" wrapText="1"/>
    </xf>
    <xf numFmtId="0" fontId="195" fillId="0" borderId="0" xfId="0" applyFont="1" applyFill="1" applyBorder="1" applyAlignment="1">
      <alignment vertical="top" wrapText="1"/>
    </xf>
    <xf numFmtId="0" fontId="192" fillId="0" borderId="56" xfId="0" applyFont="1" applyFill="1" applyBorder="1" applyAlignment="1">
      <alignment horizontal="center" vertical="top" wrapText="1"/>
    </xf>
    <xf numFmtId="168" fontId="193" fillId="0" borderId="56" xfId="0" applyNumberFormat="1" applyFont="1" applyFill="1" applyBorder="1" applyAlignment="1">
      <alignment horizontal="center" vertical="center" wrapText="1"/>
    </xf>
    <xf numFmtId="0" fontId="236" fillId="0" borderId="56" xfId="0" applyFont="1" applyFill="1" applyBorder="1" applyAlignment="1">
      <alignment horizontal="center" vertical="center" wrapText="1"/>
    </xf>
    <xf numFmtId="0" fontId="186" fillId="0" borderId="0" xfId="0" applyFont="1" applyFill="1" applyBorder="1" applyAlignment="1">
      <alignment horizontal="justify" wrapText="1"/>
    </xf>
    <xf numFmtId="171" fontId="186" fillId="0" borderId="0" xfId="70" applyNumberFormat="1" applyFont="1" applyFill="1" applyBorder="1" applyAlignment="1">
      <alignment horizontal="center" wrapText="1"/>
    </xf>
    <xf numFmtId="0" fontId="186" fillId="0" borderId="21" xfId="0" applyFont="1" applyFill="1" applyBorder="1" applyAlignment="1">
      <alignment vertical="top"/>
    </xf>
    <xf numFmtId="0" fontId="244" fillId="0" borderId="22" xfId="0" applyFont="1" applyFill="1" applyBorder="1" applyAlignment="1">
      <alignment horizontal="center"/>
    </xf>
    <xf numFmtId="0" fontId="57" fillId="0" borderId="22" xfId="0" applyFont="1" applyFill="1" applyBorder="1" applyAlignment="1">
      <alignment horizontal="center" vertical="center"/>
    </xf>
    <xf numFmtId="0" fontId="26" fillId="0" borderId="0" xfId="0" applyFont="1" applyFill="1" applyAlignment="1">
      <alignment vertical="center"/>
    </xf>
    <xf numFmtId="0" fontId="25" fillId="0" borderId="0" xfId="0" applyFont="1" applyFill="1" applyAlignment="1">
      <alignment horizontal="justify" vertical="center" wrapText="1"/>
    </xf>
    <xf numFmtId="0" fontId="38" fillId="0" borderId="0" xfId="0" applyFont="1" applyFill="1" applyAlignment="1">
      <alignment horizontal="center" vertical="top" wrapText="1"/>
    </xf>
    <xf numFmtId="0" fontId="25" fillId="0" borderId="56" xfId="0" applyFont="1" applyFill="1" applyBorder="1" applyAlignment="1">
      <alignment vertical="top" wrapText="1"/>
    </xf>
    <xf numFmtId="0" fontId="190" fillId="0" borderId="21" xfId="0" applyFont="1" applyFill="1" applyBorder="1" applyAlignment="1">
      <alignment vertical="top" wrapText="1"/>
    </xf>
    <xf numFmtId="0" fontId="188" fillId="0" borderId="21" xfId="0" applyFont="1" applyFill="1" applyBorder="1" applyAlignment="1">
      <alignment horizontal="center" vertical="center" wrapText="1"/>
    </xf>
    <xf numFmtId="41" fontId="189" fillId="0" borderId="33" xfId="0" applyNumberFormat="1" applyFont="1" applyFill="1" applyBorder="1" applyAlignment="1">
      <alignment vertical="center" wrapText="1"/>
    </xf>
    <xf numFmtId="41" fontId="189" fillId="0" borderId="0" xfId="0" applyNumberFormat="1" applyFont="1" applyFill="1" applyBorder="1" applyAlignment="1">
      <alignment vertical="center" wrapText="1"/>
    </xf>
    <xf numFmtId="41" fontId="189" fillId="0" borderId="25" xfId="0" applyNumberFormat="1" applyFont="1" applyFill="1" applyBorder="1" applyAlignment="1">
      <alignment vertical="center" wrapText="1"/>
    </xf>
    <xf numFmtId="0" fontId="186" fillId="0" borderId="56" xfId="0" applyFont="1" applyFill="1" applyBorder="1" applyAlignment="1">
      <alignment horizontal="justify" vertical="top" wrapText="1"/>
    </xf>
    <xf numFmtId="0" fontId="195" fillId="0" borderId="0" xfId="0" applyFont="1" applyFill="1" applyAlignment="1" quotePrefix="1">
      <alignment horizontal="center" vertical="top" wrapText="1"/>
    </xf>
    <xf numFmtId="0" fontId="25" fillId="0" borderId="0" xfId="0" applyFont="1" applyFill="1" applyBorder="1" applyAlignment="1" quotePrefix="1">
      <alignment horizontal="right" vertical="top" wrapText="1"/>
    </xf>
    <xf numFmtId="0" fontId="25" fillId="0" borderId="0" xfId="0" applyFont="1" applyFill="1" applyBorder="1" applyAlignment="1">
      <alignment horizontal="right" vertical="top" wrapText="1"/>
    </xf>
    <xf numFmtId="0" fontId="186" fillId="0" borderId="23" xfId="0" applyFont="1" applyFill="1" applyBorder="1" applyAlignment="1">
      <alignment horizontal="justify" wrapText="1"/>
    </xf>
    <xf numFmtId="0" fontId="38" fillId="0" borderId="0" xfId="0" applyFont="1" applyFill="1" applyAlignment="1">
      <alignment horizontal="center" vertical="top"/>
    </xf>
    <xf numFmtId="0" fontId="195" fillId="0" borderId="0" xfId="0" applyFont="1" applyFill="1" applyBorder="1" applyAlignment="1">
      <alignment horizontal="left" vertical="top" wrapText="1"/>
    </xf>
    <xf numFmtId="0" fontId="245" fillId="0" borderId="22" xfId="0" applyFont="1" applyFill="1" applyBorder="1" applyAlignment="1">
      <alignment horizontal="center" vertical="top" wrapText="1"/>
    </xf>
    <xf numFmtId="0" fontId="190" fillId="0" borderId="21" xfId="0" applyFont="1" applyFill="1" applyBorder="1" applyAlignment="1">
      <alignment horizontal="center" vertical="center" wrapText="1"/>
    </xf>
    <xf numFmtId="0" fontId="186" fillId="0" borderId="21" xfId="0" applyFont="1" applyFill="1" applyBorder="1" applyAlignment="1">
      <alignment horizontal="center" vertical="center" wrapText="1"/>
    </xf>
    <xf numFmtId="0" fontId="38" fillId="0" borderId="0" xfId="0" applyFont="1" applyFill="1" applyAlignment="1">
      <alignment vertical="top"/>
    </xf>
    <xf numFmtId="0" fontId="186" fillId="0" borderId="23" xfId="0" applyFont="1" applyFill="1" applyBorder="1" applyAlignment="1">
      <alignment horizontal="justify" vertical="top" wrapText="1"/>
    </xf>
    <xf numFmtId="0" fontId="38" fillId="0" borderId="0" xfId="0" applyFont="1" applyFill="1" applyBorder="1" applyAlignment="1">
      <alignment vertical="top"/>
    </xf>
    <xf numFmtId="0" fontId="190" fillId="0" borderId="22" xfId="0" applyFont="1" applyFill="1" applyBorder="1" applyAlignment="1">
      <alignment horizontal="justify" vertical="center" wrapText="1"/>
    </xf>
    <xf numFmtId="0" fontId="191" fillId="0" borderId="22" xfId="0" applyFont="1" applyFill="1" applyBorder="1" applyAlignment="1">
      <alignment horizontal="center" vertical="top" wrapText="1"/>
    </xf>
    <xf numFmtId="0" fontId="190" fillId="0" borderId="0" xfId="0" applyFont="1" applyFill="1" applyAlignment="1">
      <alignment horizontal="center" vertical="top" wrapText="1"/>
    </xf>
    <xf numFmtId="0" fontId="191" fillId="0" borderId="21" xfId="0" applyFont="1" applyFill="1" applyBorder="1" applyAlignment="1">
      <alignment horizontal="center" vertical="center" wrapText="1"/>
    </xf>
    <xf numFmtId="0" fontId="223" fillId="0" borderId="0" xfId="0" applyFont="1" applyFill="1" applyAlignment="1">
      <alignment vertical="top"/>
    </xf>
    <xf numFmtId="0" fontId="43" fillId="0" borderId="22" xfId="0" applyFont="1" applyFill="1" applyBorder="1" applyAlignment="1">
      <alignment horizontal="left" vertical="top" wrapText="1"/>
    </xf>
    <xf numFmtId="0" fontId="44" fillId="0" borderId="22" xfId="0" applyFont="1" applyFill="1" applyBorder="1" applyAlignment="1">
      <alignment horizontal="center" vertical="top" wrapText="1"/>
    </xf>
    <xf numFmtId="0" fontId="226" fillId="0" borderId="0" xfId="0" applyFont="1" applyFill="1" applyAlignment="1">
      <alignment vertical="top"/>
    </xf>
    <xf numFmtId="0" fontId="44" fillId="0" borderId="22" xfId="0" applyFont="1" applyFill="1" applyBorder="1" applyAlignment="1">
      <alignment horizontal="center" vertical="center" wrapText="1"/>
    </xf>
    <xf numFmtId="0" fontId="61" fillId="0" borderId="0" xfId="0" applyFont="1" applyFill="1" applyAlignment="1">
      <alignment vertical="top"/>
    </xf>
    <xf numFmtId="0" fontId="186" fillId="0" borderId="0" xfId="0" applyFont="1" applyFill="1" applyAlignment="1" quotePrefix="1">
      <alignment vertical="top" wrapText="1"/>
    </xf>
    <xf numFmtId="0" fontId="246" fillId="0" borderId="21" xfId="0" applyFont="1" applyFill="1" applyBorder="1" applyAlignment="1">
      <alignment vertical="center"/>
    </xf>
    <xf numFmtId="0" fontId="186" fillId="0" borderId="20" xfId="0" applyFont="1" applyFill="1" applyBorder="1" applyAlignment="1">
      <alignment vertical="top" wrapText="1"/>
    </xf>
    <xf numFmtId="0" fontId="246" fillId="0" borderId="20" xfId="0" applyFont="1" applyFill="1" applyBorder="1" applyAlignment="1">
      <alignment vertical="center"/>
    </xf>
    <xf numFmtId="171" fontId="190" fillId="0" borderId="0" xfId="70" applyNumberFormat="1" applyFont="1" applyFill="1" applyBorder="1" applyAlignment="1">
      <alignment horizontal="center" vertical="center" wrapText="1"/>
    </xf>
    <xf numFmtId="0" fontId="200" fillId="0" borderId="0" xfId="0" applyFont="1" applyFill="1" applyBorder="1" applyAlignment="1">
      <alignment horizontal="center" vertical="center"/>
    </xf>
    <xf numFmtId="0" fontId="240" fillId="0" borderId="0" xfId="0" applyFont="1" applyFill="1" applyAlignment="1">
      <alignment horizontal="center" vertical="top" wrapText="1"/>
    </xf>
    <xf numFmtId="0" fontId="205" fillId="0" borderId="21" xfId="0" applyFont="1" applyFill="1" applyBorder="1" applyAlignment="1">
      <alignment vertical="center"/>
    </xf>
    <xf numFmtId="0" fontId="200" fillId="0" borderId="20" xfId="0" applyFont="1" applyFill="1" applyBorder="1" applyAlignment="1">
      <alignment/>
    </xf>
    <xf numFmtId="0" fontId="196" fillId="0" borderId="0" xfId="0" applyFont="1" applyFill="1" applyAlignment="1">
      <alignment horizontal="justify" vertical="center" wrapText="1"/>
    </xf>
    <xf numFmtId="171" fontId="186" fillId="0" borderId="21" xfId="70" applyNumberFormat="1" applyFont="1" applyFill="1" applyBorder="1" applyAlignment="1">
      <alignment horizontal="center" vertical="top" wrapText="1"/>
    </xf>
    <xf numFmtId="171" fontId="186" fillId="0" borderId="20" xfId="70" applyNumberFormat="1" applyFont="1" applyFill="1" applyBorder="1" applyAlignment="1">
      <alignment horizontal="center" vertical="top" wrapText="1"/>
    </xf>
    <xf numFmtId="171" fontId="186" fillId="0" borderId="19" xfId="70" applyNumberFormat="1" applyFont="1" applyFill="1" applyBorder="1" applyAlignment="1">
      <alignment horizontal="center" vertical="top" wrapText="1"/>
    </xf>
    <xf numFmtId="0" fontId="25" fillId="0" borderId="0" xfId="0" applyFont="1" applyFill="1" applyBorder="1" applyAlignment="1">
      <alignment vertical="center" wrapText="1"/>
    </xf>
    <xf numFmtId="0" fontId="25" fillId="0" borderId="0" xfId="0" applyFont="1" applyFill="1" applyBorder="1" applyAlignment="1">
      <alignment vertical="top"/>
    </xf>
    <xf numFmtId="0" fontId="247" fillId="0" borderId="0" xfId="0" applyFont="1" applyFill="1" applyAlignment="1">
      <alignment vertical="top"/>
    </xf>
    <xf numFmtId="0" fontId="201" fillId="0" borderId="0" xfId="0" applyFont="1" applyFill="1" applyAlignment="1" quotePrefix="1">
      <alignment vertical="top"/>
    </xf>
    <xf numFmtId="0" fontId="248" fillId="0" borderId="0" xfId="0" applyFont="1" applyFill="1" applyBorder="1" applyAlignment="1">
      <alignment horizontal="left" vertical="top" wrapText="1"/>
    </xf>
    <xf numFmtId="0" fontId="60" fillId="0" borderId="0" xfId="0" applyFont="1" applyFill="1" applyAlignment="1">
      <alignment horizontal="justify"/>
    </xf>
    <xf numFmtId="0" fontId="206" fillId="0" borderId="0" xfId="0" applyFont="1" applyFill="1" applyBorder="1" applyAlignment="1">
      <alignment horizontal="justify" vertical="center"/>
    </xf>
    <xf numFmtId="0" fontId="59" fillId="0" borderId="0" xfId="107" applyFont="1" applyFill="1" applyBorder="1">
      <alignment/>
      <protection/>
    </xf>
    <xf numFmtId="0" fontId="206" fillId="0" borderId="0" xfId="0" applyFont="1" applyFill="1" applyAlignment="1">
      <alignment horizontal="justify"/>
    </xf>
    <xf numFmtId="0" fontId="226" fillId="0" borderId="0" xfId="0" applyFont="1" applyFill="1" applyAlignment="1">
      <alignment horizontal="left" vertical="top" wrapText="1" indent="8"/>
    </xf>
    <xf numFmtId="0" fontId="226" fillId="0" borderId="0" xfId="0" applyFont="1" applyFill="1" applyAlignment="1">
      <alignment horizontal="center" vertical="top" wrapText="1"/>
    </xf>
    <xf numFmtId="0" fontId="206" fillId="0" borderId="0" xfId="0" applyFont="1" applyFill="1" applyAlignment="1">
      <alignment horizontal="center" vertical="top" wrapText="1"/>
    </xf>
    <xf numFmtId="0" fontId="206" fillId="0" borderId="0" xfId="0" applyFont="1" applyFill="1" applyAlignment="1">
      <alignment vertical="top" wrapText="1"/>
    </xf>
    <xf numFmtId="0" fontId="43" fillId="0" borderId="22" xfId="0" applyFont="1" applyFill="1" applyBorder="1" applyAlignment="1">
      <alignment horizontal="center" vertical="top" wrapText="1"/>
    </xf>
    <xf numFmtId="0" fontId="200" fillId="0" borderId="0" xfId="0" applyFont="1" applyFill="1" applyBorder="1" applyAlignment="1">
      <alignment horizontal="justify" vertical="top" wrapText="1"/>
    </xf>
    <xf numFmtId="0" fontId="201" fillId="0" borderId="0" xfId="0" applyFont="1" applyFill="1" applyAlignment="1">
      <alignment horizontal="left" vertical="top" wrapText="1"/>
    </xf>
    <xf numFmtId="0" fontId="249" fillId="0" borderId="22" xfId="0" applyFont="1" applyFill="1" applyBorder="1" applyAlignment="1">
      <alignment horizontal="center" vertical="top" wrapText="1"/>
    </xf>
    <xf numFmtId="0" fontId="249" fillId="0" borderId="0" xfId="0" applyFont="1" applyFill="1" applyBorder="1" applyAlignment="1">
      <alignment horizontal="center" vertical="top" wrapText="1"/>
    </xf>
    <xf numFmtId="41" fontId="200" fillId="0" borderId="0" xfId="0" applyNumberFormat="1" applyFont="1" applyFill="1" applyBorder="1" applyAlignment="1">
      <alignment horizontal="center" vertical="center" wrapText="1"/>
    </xf>
    <xf numFmtId="0" fontId="249" fillId="0" borderId="22" xfId="0" applyFont="1" applyFill="1" applyBorder="1" applyAlignment="1">
      <alignment horizontal="center" vertical="center" wrapText="1"/>
    </xf>
    <xf numFmtId="0" fontId="249" fillId="0" borderId="0" xfId="0" applyFont="1" applyFill="1" applyAlignment="1">
      <alignment horizontal="center" vertical="top" wrapText="1"/>
    </xf>
    <xf numFmtId="0" fontId="200" fillId="0" borderId="0" xfId="0" applyFont="1" applyFill="1" applyBorder="1" applyAlignment="1" quotePrefix="1">
      <alignment horizontal="right" vertical="top" wrapText="1"/>
    </xf>
    <xf numFmtId="0" fontId="200" fillId="0" borderId="0" xfId="0" applyFont="1" applyFill="1" applyBorder="1" applyAlignment="1">
      <alignment horizontal="left" vertical="top" wrapText="1"/>
    </xf>
    <xf numFmtId="41" fontId="200" fillId="0" borderId="0" xfId="0" applyNumberFormat="1" applyFont="1" applyFill="1" applyBorder="1" applyAlignment="1">
      <alignment horizontal="center" vertical="top" wrapText="1"/>
    </xf>
    <xf numFmtId="0" fontId="250" fillId="0" borderId="22" xfId="0" applyFont="1" applyFill="1" applyBorder="1" applyAlignment="1">
      <alignment horizontal="center" vertical="top" wrapText="1"/>
    </xf>
    <xf numFmtId="0" fontId="186" fillId="0" borderId="0" xfId="0" applyFont="1" applyFill="1" applyBorder="1" applyAlignment="1">
      <alignment horizontal="justify" vertical="top" wrapText="1"/>
    </xf>
    <xf numFmtId="0" fontId="186" fillId="0" borderId="0" xfId="0" applyFont="1" applyFill="1" applyAlignment="1">
      <alignment horizontal="justify" vertical="top" wrapText="1"/>
    </xf>
    <xf numFmtId="0" fontId="190" fillId="0" borderId="0" xfId="0" applyFont="1" applyFill="1" applyBorder="1" applyAlignment="1">
      <alignment horizontal="justify" vertical="top" wrapText="1"/>
    </xf>
    <xf numFmtId="0" fontId="195" fillId="0" borderId="0" xfId="0" applyFont="1" applyFill="1" applyAlignment="1">
      <alignment horizontal="left" vertical="top" wrapText="1"/>
    </xf>
    <xf numFmtId="0" fontId="195" fillId="0" borderId="0" xfId="0" applyFont="1" applyFill="1" applyBorder="1" applyAlignment="1">
      <alignment horizontal="left" vertical="top" wrapText="1"/>
    </xf>
    <xf numFmtId="0" fontId="195" fillId="0" borderId="0" xfId="0" applyFont="1" applyFill="1" applyAlignment="1">
      <alignment horizontal="center" vertical="top" wrapText="1"/>
    </xf>
    <xf numFmtId="0" fontId="237" fillId="0" borderId="0" xfId="0" applyFont="1" applyFill="1" applyBorder="1" applyAlignment="1">
      <alignment horizontal="center" vertical="center" wrapText="1" readingOrder="1"/>
    </xf>
    <xf numFmtId="171" fontId="238" fillId="0" borderId="0" xfId="70" applyNumberFormat="1" applyFont="1" applyFill="1" applyBorder="1" applyAlignment="1">
      <alignment horizontal="left" vertical="top" wrapText="1"/>
    </xf>
    <xf numFmtId="171" fontId="189" fillId="0" borderId="0" xfId="70" applyNumberFormat="1" applyFont="1" applyFill="1" applyBorder="1" applyAlignment="1">
      <alignment horizontal="center" vertical="center" wrapText="1"/>
    </xf>
    <xf numFmtId="43" fontId="227" fillId="0" borderId="22" xfId="70" applyNumberFormat="1" applyFont="1" applyFill="1" applyBorder="1" applyAlignment="1">
      <alignment/>
    </xf>
    <xf numFmtId="43" fontId="187" fillId="0" borderId="22" xfId="70" applyNumberFormat="1" applyFont="1" applyFill="1" applyBorder="1" applyAlignment="1">
      <alignment/>
    </xf>
    <xf numFmtId="0" fontId="206" fillId="0" borderId="0" xfId="0" applyFont="1" applyAlignment="1">
      <alignment horizontal="justify" vertical="top" wrapText="1"/>
    </xf>
    <xf numFmtId="0" fontId="200" fillId="0" borderId="0" xfId="0" applyFont="1" applyAlignment="1">
      <alignment horizontal="justify" vertical="top" wrapText="1"/>
    </xf>
    <xf numFmtId="0" fontId="24" fillId="0" borderId="0" xfId="0" applyFont="1" applyFill="1" applyBorder="1" applyAlignment="1">
      <alignment vertical="top" wrapText="1"/>
    </xf>
    <xf numFmtId="0" fontId="24" fillId="0" borderId="0" xfId="0" applyFont="1" applyFill="1" applyBorder="1" applyAlignment="1">
      <alignment horizontal="left" vertical="top" wrapText="1"/>
    </xf>
    <xf numFmtId="0" fontId="186" fillId="0" borderId="0" xfId="0" applyFont="1" applyFill="1" applyBorder="1" applyAlignment="1">
      <alignment horizontal="justify" vertical="top" wrapText="1"/>
    </xf>
    <xf numFmtId="0" fontId="194" fillId="60" borderId="0" xfId="0" applyFont="1" applyFill="1" applyAlignment="1">
      <alignment vertical="top"/>
    </xf>
    <xf numFmtId="171" fontId="199" fillId="60" borderId="0" xfId="70" applyNumberFormat="1" applyFont="1" applyFill="1" applyAlignment="1">
      <alignment vertical="top"/>
    </xf>
    <xf numFmtId="171" fontId="199" fillId="60" borderId="0" xfId="70" applyNumberFormat="1" applyFont="1" applyFill="1" applyAlignment="1">
      <alignment horizontal="left" vertical="top"/>
    </xf>
    <xf numFmtId="171" fontId="194" fillId="60" borderId="0" xfId="70" applyNumberFormat="1" applyFont="1" applyFill="1" applyAlignment="1">
      <alignment/>
    </xf>
    <xf numFmtId="171" fontId="251" fillId="60" borderId="35" xfId="70" applyNumberFormat="1" applyFont="1" applyFill="1" applyBorder="1" applyAlignment="1">
      <alignment horizontal="center"/>
    </xf>
    <xf numFmtId="171" fontId="39" fillId="60" borderId="22" xfId="70" applyNumberFormat="1" applyFont="1" applyFill="1" applyBorder="1" applyAlignment="1">
      <alignment horizontal="center" vertical="top"/>
    </xf>
    <xf numFmtId="171" fontId="39" fillId="60" borderId="19" xfId="70" applyNumberFormat="1" applyFont="1" applyFill="1" applyBorder="1" applyAlignment="1">
      <alignment horizontal="center" vertical="top"/>
    </xf>
    <xf numFmtId="171" fontId="251" fillId="60" borderId="24" xfId="70" applyNumberFormat="1" applyFont="1" applyFill="1" applyBorder="1" applyAlignment="1">
      <alignment horizontal="center"/>
    </xf>
    <xf numFmtId="0" fontId="251" fillId="60" borderId="22" xfId="0" applyFont="1" applyFill="1" applyBorder="1" applyAlignment="1">
      <alignment vertical="center"/>
    </xf>
    <xf numFmtId="171" fontId="39" fillId="60" borderId="22" xfId="70" applyNumberFormat="1" applyFont="1" applyFill="1" applyBorder="1" applyAlignment="1">
      <alignment vertical="center"/>
    </xf>
    <xf numFmtId="171" fontId="39" fillId="60" borderId="22" xfId="70" applyNumberFormat="1" applyFont="1" applyFill="1" applyBorder="1" applyAlignment="1">
      <alignment horizontal="left" vertical="center"/>
    </xf>
    <xf numFmtId="41" fontId="45" fillId="60" borderId="22" xfId="103" applyNumberFormat="1" applyFont="1" applyFill="1" applyBorder="1" applyAlignment="1">
      <alignment horizontal="center" vertical="center"/>
      <protection/>
    </xf>
    <xf numFmtId="171" fontId="252" fillId="60" borderId="22" xfId="70" applyNumberFormat="1" applyFont="1" applyFill="1" applyBorder="1" applyAlignment="1">
      <alignment vertical="center"/>
    </xf>
    <xf numFmtId="0" fontId="253" fillId="60" borderId="22" xfId="0" applyFont="1" applyFill="1" applyBorder="1" applyAlignment="1">
      <alignment vertical="center"/>
    </xf>
    <xf numFmtId="171" fontId="33" fillId="60" borderId="22" xfId="70" applyNumberFormat="1" applyFont="1" applyFill="1" applyBorder="1" applyAlignment="1">
      <alignment vertical="center"/>
    </xf>
    <xf numFmtId="171" fontId="33" fillId="60" borderId="22" xfId="70" applyNumberFormat="1" applyFont="1" applyFill="1" applyBorder="1" applyAlignment="1">
      <alignment horizontal="left" vertical="center"/>
    </xf>
    <xf numFmtId="41" fontId="46" fillId="60" borderId="22" xfId="103" applyNumberFormat="1" applyFont="1" applyFill="1" applyBorder="1" applyAlignment="1">
      <alignment horizontal="center" vertical="center"/>
      <protection/>
    </xf>
    <xf numFmtId="171" fontId="199" fillId="60" borderId="22" xfId="70" applyNumberFormat="1" applyFont="1" applyFill="1" applyBorder="1" applyAlignment="1">
      <alignment vertical="center"/>
    </xf>
    <xf numFmtId="0" fontId="253" fillId="60" borderId="22" xfId="0" applyFont="1" applyFill="1" applyBorder="1" applyAlignment="1">
      <alignment vertical="center" wrapText="1"/>
    </xf>
    <xf numFmtId="0" fontId="251" fillId="60" borderId="22" xfId="0" applyFont="1" applyFill="1" applyBorder="1" applyAlignment="1">
      <alignment vertical="center" wrapText="1"/>
    </xf>
    <xf numFmtId="171" fontId="194" fillId="60" borderId="22" xfId="70" applyNumberFormat="1" applyFont="1" applyFill="1" applyBorder="1" applyAlignment="1">
      <alignment vertical="center"/>
    </xf>
    <xf numFmtId="0" fontId="254" fillId="60" borderId="22" xfId="0" applyFont="1" applyFill="1" applyBorder="1" applyAlignment="1">
      <alignment vertical="center"/>
    </xf>
    <xf numFmtId="171" fontId="251" fillId="60" borderId="22" xfId="70" applyNumberFormat="1" applyFont="1" applyFill="1" applyBorder="1" applyAlignment="1">
      <alignment vertical="center"/>
    </xf>
    <xf numFmtId="0" fontId="254" fillId="60" borderId="30" xfId="0" applyFont="1" applyFill="1" applyBorder="1" applyAlignment="1">
      <alignment vertical="center"/>
    </xf>
    <xf numFmtId="0" fontId="36" fillId="60" borderId="22" xfId="0" applyFont="1" applyFill="1" applyBorder="1" applyAlignment="1">
      <alignment/>
    </xf>
    <xf numFmtId="171" fontId="199" fillId="60" borderId="22" xfId="70" applyNumberFormat="1" applyFont="1" applyFill="1" applyBorder="1" applyAlignment="1">
      <alignment vertical="top"/>
    </xf>
    <xf numFmtId="171" fontId="199" fillId="60" borderId="22" xfId="70" applyNumberFormat="1" applyFont="1" applyFill="1" applyBorder="1" applyAlignment="1">
      <alignment horizontal="left" vertical="top"/>
    </xf>
    <xf numFmtId="0" fontId="194" fillId="60" borderId="22" xfId="0" applyFont="1" applyFill="1" applyBorder="1" applyAlignment="1">
      <alignment vertical="top"/>
    </xf>
    <xf numFmtId="171" fontId="194" fillId="60" borderId="22" xfId="70" applyNumberFormat="1" applyFont="1" applyFill="1" applyBorder="1" applyAlignment="1">
      <alignment/>
    </xf>
    <xf numFmtId="0" fontId="35" fillId="60" borderId="22" xfId="0" applyFont="1" applyFill="1" applyBorder="1" applyAlignment="1" quotePrefix="1">
      <alignment/>
    </xf>
    <xf numFmtId="0" fontId="35" fillId="60" borderId="22" xfId="0" applyFont="1" applyFill="1" applyBorder="1" applyAlignment="1" quotePrefix="1">
      <alignment horizontal="justify" vertical="top"/>
    </xf>
    <xf numFmtId="0" fontId="37" fillId="60" borderId="22" xfId="0" applyFont="1" applyFill="1" applyBorder="1" applyAlignment="1">
      <alignment/>
    </xf>
    <xf numFmtId="0" fontId="36" fillId="60" borderId="26" xfId="0" applyFont="1" applyFill="1" applyBorder="1" applyAlignment="1">
      <alignment/>
    </xf>
    <xf numFmtId="171" fontId="199" fillId="60" borderId="26" xfId="70" applyNumberFormat="1" applyFont="1" applyFill="1" applyBorder="1" applyAlignment="1">
      <alignment vertical="top"/>
    </xf>
    <xf numFmtId="0" fontId="194" fillId="60" borderId="26" xfId="0" applyFont="1" applyFill="1" applyBorder="1" applyAlignment="1">
      <alignment vertical="top"/>
    </xf>
    <xf numFmtId="0" fontId="36" fillId="60" borderId="22" xfId="103" applyFont="1" applyFill="1" applyBorder="1" applyAlignment="1">
      <alignment horizontal="center" vertical="center"/>
      <protection/>
    </xf>
    <xf numFmtId="0" fontId="36" fillId="60" borderId="22" xfId="70" applyNumberFormat="1" applyFont="1" applyFill="1" applyBorder="1" applyAlignment="1">
      <alignment horizontal="center" vertical="center"/>
    </xf>
    <xf numFmtId="0" fontId="251" fillId="60" borderId="22" xfId="70" applyNumberFormat="1" applyFont="1" applyFill="1" applyBorder="1" applyAlignment="1">
      <alignment horizontal="center" vertical="center"/>
    </xf>
    <xf numFmtId="0" fontId="38" fillId="60" borderId="22" xfId="0" applyFont="1" applyFill="1" applyBorder="1" applyAlignment="1">
      <alignment vertical="center"/>
    </xf>
    <xf numFmtId="171" fontId="153" fillId="60" borderId="22" xfId="70" applyNumberFormat="1" applyFont="1" applyFill="1" applyBorder="1" applyAlignment="1">
      <alignment vertical="center"/>
    </xf>
    <xf numFmtId="171" fontId="255" fillId="60" borderId="22" xfId="70" applyNumberFormat="1" applyFont="1" applyFill="1" applyBorder="1" applyAlignment="1">
      <alignment vertical="center"/>
    </xf>
    <xf numFmtId="0" fontId="27" fillId="60" borderId="22" xfId="0" applyFont="1" applyFill="1" applyBorder="1" applyAlignment="1">
      <alignment vertical="center"/>
    </xf>
    <xf numFmtId="0" fontId="27" fillId="60" borderId="22" xfId="0" applyFont="1" applyFill="1" applyBorder="1" applyAlignment="1">
      <alignment vertical="center" wrapText="1"/>
    </xf>
    <xf numFmtId="0" fontId="36" fillId="60" borderId="57" xfId="103" applyFont="1" applyFill="1" applyBorder="1" applyAlignment="1">
      <alignment horizontal="center" vertical="center"/>
      <protection/>
    </xf>
    <xf numFmtId="0" fontId="36" fillId="60" borderId="57" xfId="70" applyNumberFormat="1" applyFont="1" applyFill="1" applyBorder="1" applyAlignment="1">
      <alignment horizontal="center" vertical="center"/>
    </xf>
    <xf numFmtId="0" fontId="194" fillId="60" borderId="57" xfId="70" applyNumberFormat="1" applyFont="1" applyFill="1" applyBorder="1" applyAlignment="1">
      <alignment horizontal="center" vertical="center"/>
    </xf>
    <xf numFmtId="0" fontId="36" fillId="60" borderId="22" xfId="103" applyFont="1" applyFill="1" applyBorder="1" applyAlignment="1">
      <alignment horizontal="left" vertical="center"/>
      <protection/>
    </xf>
    <xf numFmtId="0" fontId="194" fillId="60" borderId="22" xfId="70" applyNumberFormat="1" applyFont="1" applyFill="1" applyBorder="1" applyAlignment="1">
      <alignment horizontal="center" vertical="center"/>
    </xf>
    <xf numFmtId="0" fontId="26" fillId="60" borderId="22" xfId="0" applyFont="1" applyFill="1" applyBorder="1" applyAlignment="1">
      <alignment vertical="center"/>
    </xf>
    <xf numFmtId="171" fontId="155" fillId="60" borderId="22" xfId="70" applyNumberFormat="1" applyFont="1" applyFill="1" applyBorder="1" applyAlignment="1">
      <alignment vertical="center"/>
    </xf>
    <xf numFmtId="171" fontId="182" fillId="60" borderId="22" xfId="70" applyNumberFormat="1" applyFont="1" applyFill="1" applyBorder="1" applyAlignment="1">
      <alignment vertical="center"/>
    </xf>
    <xf numFmtId="171" fontId="156" fillId="60" borderId="22" xfId="70" applyNumberFormat="1" applyFont="1" applyFill="1" applyBorder="1" applyAlignment="1">
      <alignment vertical="center"/>
    </xf>
    <xf numFmtId="171" fontId="0" fillId="60" borderId="22" xfId="70" applyNumberFormat="1" applyFont="1" applyFill="1" applyBorder="1" applyAlignment="1">
      <alignment vertical="center"/>
    </xf>
    <xf numFmtId="0" fontId="26" fillId="60" borderId="22" xfId="0" applyFont="1" applyFill="1" applyBorder="1" applyAlignment="1">
      <alignment vertical="center" wrapText="1"/>
    </xf>
    <xf numFmtId="0" fontId="198" fillId="60" borderId="22" xfId="0" applyFont="1" applyFill="1" applyBorder="1" applyAlignment="1">
      <alignment horizontal="left" vertical="center" wrapText="1"/>
    </xf>
    <xf numFmtId="0" fontId="198" fillId="60" borderId="22" xfId="0" applyFont="1" applyFill="1" applyBorder="1" applyAlignment="1">
      <alignment/>
    </xf>
    <xf numFmtId="0" fontId="256" fillId="60" borderId="22" xfId="0" applyFont="1" applyFill="1" applyBorder="1" applyAlignment="1">
      <alignment/>
    </xf>
    <xf numFmtId="0" fontId="26" fillId="60" borderId="22" xfId="103" applyFont="1" applyFill="1" applyBorder="1" applyAlignment="1">
      <alignment horizontal="center" vertical="center"/>
      <protection/>
    </xf>
    <xf numFmtId="0" fontId="26" fillId="60" borderId="22" xfId="70" applyNumberFormat="1" applyFont="1" applyFill="1" applyBorder="1" applyAlignment="1">
      <alignment horizontal="center" vertical="center"/>
    </xf>
    <xf numFmtId="0" fontId="200" fillId="60" borderId="22" xfId="70" applyNumberFormat="1" applyFont="1" applyFill="1" applyBorder="1" applyAlignment="1">
      <alignment horizontal="center" vertical="center"/>
    </xf>
    <xf numFmtId="0" fontId="26" fillId="60" borderId="52" xfId="106" applyFont="1" applyFill="1" applyBorder="1" applyAlignment="1">
      <alignment vertical="center"/>
      <protection/>
    </xf>
    <xf numFmtId="171" fontId="22" fillId="60" borderId="35" xfId="70" applyNumberFormat="1" applyFont="1" applyFill="1" applyBorder="1" applyAlignment="1">
      <alignment vertical="center"/>
    </xf>
    <xf numFmtId="0" fontId="26" fillId="60" borderId="52" xfId="106" applyFont="1" applyFill="1" applyBorder="1" applyAlignment="1">
      <alignment vertical="center" wrapText="1"/>
      <protection/>
    </xf>
    <xf numFmtId="0" fontId="27" fillId="60" borderId="52" xfId="106" applyFont="1" applyFill="1" applyBorder="1" applyAlignment="1">
      <alignment vertical="center"/>
      <protection/>
    </xf>
    <xf numFmtId="0" fontId="26" fillId="60" borderId="22" xfId="106" applyFont="1" applyFill="1" applyBorder="1" applyAlignment="1">
      <alignment vertical="center"/>
      <protection/>
    </xf>
    <xf numFmtId="171" fontId="22" fillId="60" borderId="22" xfId="70" applyNumberFormat="1" applyFont="1" applyFill="1" applyBorder="1" applyAlignment="1">
      <alignment vertical="center"/>
    </xf>
    <xf numFmtId="0" fontId="257" fillId="0" borderId="0" xfId="0" applyFont="1" applyAlignment="1">
      <alignment horizontal="justify" vertical="top" wrapText="1"/>
    </xf>
    <xf numFmtId="0" fontId="206" fillId="6" borderId="22" xfId="0" applyFont="1" applyFill="1" applyBorder="1" applyAlignment="1">
      <alignment horizontal="left" vertical="center"/>
    </xf>
    <xf numFmtId="0" fontId="226" fillId="0" borderId="22" xfId="0" applyFont="1" applyBorder="1" applyAlignment="1">
      <alignment horizontal="center"/>
    </xf>
    <xf numFmtId="0" fontId="200" fillId="0" borderId="42" xfId="0" applyFont="1" applyFill="1" applyBorder="1" applyAlignment="1">
      <alignment/>
    </xf>
    <xf numFmtId="0" fontId="200" fillId="0" borderId="41" xfId="0" applyFont="1" applyFill="1" applyBorder="1" applyAlignment="1">
      <alignment/>
    </xf>
    <xf numFmtId="0" fontId="211" fillId="55" borderId="34" xfId="0" applyFont="1" applyFill="1" applyBorder="1" applyAlignment="1">
      <alignment horizontal="center" vertical="center"/>
    </xf>
    <xf numFmtId="0" fontId="211" fillId="55" borderId="30" xfId="0" applyFont="1" applyFill="1" applyBorder="1" applyAlignment="1">
      <alignment horizontal="center" vertical="center"/>
    </xf>
    <xf numFmtId="0" fontId="209" fillId="55" borderId="22" xfId="0" applyNumberFormat="1" applyFont="1" applyFill="1" applyBorder="1" applyAlignment="1">
      <alignment horizontal="center"/>
    </xf>
    <xf numFmtId="0" fontId="210" fillId="0" borderId="21" xfId="0" applyFont="1" applyFill="1" applyBorder="1" applyAlignment="1">
      <alignment/>
    </xf>
    <xf numFmtId="0" fontId="210" fillId="0" borderId="19" xfId="0" applyFont="1" applyFill="1" applyBorder="1" applyAlignment="1">
      <alignment/>
    </xf>
    <xf numFmtId="0" fontId="211" fillId="55" borderId="20" xfId="0" applyFont="1" applyFill="1" applyBorder="1" applyAlignment="1">
      <alignment horizontal="center" vertical="center"/>
    </xf>
    <xf numFmtId="0" fontId="211" fillId="55" borderId="19" xfId="0" applyFont="1" applyFill="1" applyBorder="1" applyAlignment="1">
      <alignment horizontal="center" vertical="center"/>
    </xf>
    <xf numFmtId="0" fontId="209" fillId="55" borderId="21" xfId="0" applyFont="1" applyFill="1" applyBorder="1" applyAlignment="1">
      <alignment horizontal="center" vertical="center"/>
    </xf>
    <xf numFmtId="0" fontId="209" fillId="55" borderId="20" xfId="0" applyFont="1" applyFill="1" applyBorder="1" applyAlignment="1">
      <alignment horizontal="center" vertical="center"/>
    </xf>
    <xf numFmtId="0" fontId="209" fillId="55" borderId="19" xfId="0" applyFont="1" applyFill="1" applyBorder="1" applyAlignment="1">
      <alignment horizontal="center" vertical="center"/>
    </xf>
    <xf numFmtId="0" fontId="211" fillId="55" borderId="56" xfId="0" applyFont="1" applyFill="1" applyBorder="1" applyAlignment="1">
      <alignment horizontal="center" vertical="center"/>
    </xf>
    <xf numFmtId="0" fontId="211" fillId="55" borderId="35" xfId="0" applyFont="1" applyFill="1" applyBorder="1" applyAlignment="1">
      <alignment horizontal="center" vertical="center"/>
    </xf>
    <xf numFmtId="0" fontId="211" fillId="55" borderId="23" xfId="0" applyFont="1" applyFill="1" applyBorder="1" applyAlignment="1">
      <alignment horizontal="center" vertical="center"/>
    </xf>
    <xf numFmtId="173" fontId="209" fillId="55" borderId="34" xfId="0" applyNumberFormat="1" applyFont="1" applyFill="1" applyBorder="1" applyAlignment="1" quotePrefix="1">
      <alignment horizontal="justify" vertical="center"/>
    </xf>
    <xf numFmtId="173" fontId="209" fillId="55" borderId="30" xfId="0" applyNumberFormat="1" applyFont="1" applyFill="1" applyBorder="1" applyAlignment="1">
      <alignment horizontal="justify" vertical="center"/>
    </xf>
    <xf numFmtId="0" fontId="209" fillId="55" borderId="21" xfId="0" applyFont="1" applyFill="1" applyBorder="1" applyAlignment="1">
      <alignment horizontal="center"/>
    </xf>
    <xf numFmtId="0" fontId="209" fillId="55" borderId="20" xfId="0" applyFont="1" applyFill="1" applyBorder="1" applyAlignment="1">
      <alignment horizontal="center"/>
    </xf>
    <xf numFmtId="0" fontId="209" fillId="55" borderId="19" xfId="0" applyFont="1" applyFill="1" applyBorder="1" applyAlignment="1">
      <alignment horizontal="center"/>
    </xf>
    <xf numFmtId="0" fontId="211" fillId="55" borderId="24" xfId="0" applyFont="1" applyFill="1" applyBorder="1" applyAlignment="1">
      <alignment horizontal="center" vertical="center"/>
    </xf>
    <xf numFmtId="0" fontId="209" fillId="55" borderId="34" xfId="0" applyFont="1" applyFill="1" applyBorder="1" applyAlignment="1">
      <alignment horizontal="center" vertical="justify"/>
    </xf>
    <xf numFmtId="0" fontId="209" fillId="55" borderId="30" xfId="0" applyFont="1" applyFill="1" applyBorder="1" applyAlignment="1">
      <alignment horizontal="center" vertical="justify"/>
    </xf>
    <xf numFmtId="1" fontId="209" fillId="55" borderId="21" xfId="0" applyNumberFormat="1" applyFont="1" applyFill="1" applyBorder="1" applyAlignment="1">
      <alignment horizontal="center" vertical="center"/>
    </xf>
    <xf numFmtId="1" fontId="209" fillId="55" borderId="20" xfId="0" applyNumberFormat="1" applyFont="1" applyFill="1" applyBorder="1" applyAlignment="1">
      <alignment horizontal="center" vertical="center"/>
    </xf>
    <xf numFmtId="1" fontId="209" fillId="55" borderId="19" xfId="0" applyNumberFormat="1" applyFont="1" applyFill="1" applyBorder="1" applyAlignment="1">
      <alignment horizontal="center" vertical="center"/>
    </xf>
    <xf numFmtId="1" fontId="209" fillId="55" borderId="21" xfId="0" applyNumberFormat="1" applyFont="1" applyFill="1" applyBorder="1" applyAlignment="1">
      <alignment horizontal="center"/>
    </xf>
    <xf numFmtId="1" fontId="209" fillId="55" borderId="20" xfId="0" applyNumberFormat="1" applyFont="1" applyFill="1" applyBorder="1" applyAlignment="1">
      <alignment horizontal="center"/>
    </xf>
    <xf numFmtId="1" fontId="209" fillId="55" borderId="19" xfId="0" applyNumberFormat="1" applyFont="1" applyFill="1" applyBorder="1" applyAlignment="1">
      <alignment horizontal="center"/>
    </xf>
    <xf numFmtId="39" fontId="209" fillId="0" borderId="34" xfId="69" applyNumberFormat="1" applyFont="1" applyFill="1" applyBorder="1" applyAlignment="1" quotePrefix="1">
      <alignment horizontal="center" vertical="center"/>
    </xf>
    <xf numFmtId="39" fontId="209" fillId="0" borderId="30" xfId="69" applyNumberFormat="1" applyFont="1" applyFill="1" applyBorder="1" applyAlignment="1">
      <alignment horizontal="center" vertical="center"/>
    </xf>
    <xf numFmtId="39" fontId="54" fillId="0" borderId="29" xfId="69" applyNumberFormat="1" applyFont="1" applyFill="1" applyBorder="1" applyAlignment="1" quotePrefix="1">
      <alignment horizontal="center" vertical="center"/>
    </xf>
    <xf numFmtId="39" fontId="54" fillId="0" borderId="30" xfId="69" applyNumberFormat="1" applyFont="1" applyFill="1" applyBorder="1" applyAlignment="1">
      <alignment horizontal="center" vertical="center"/>
    </xf>
    <xf numFmtId="1" fontId="54" fillId="0" borderId="34" xfId="69" applyNumberFormat="1" applyFont="1" applyFill="1" applyBorder="1" applyAlignment="1">
      <alignment horizontal="center" vertical="center"/>
    </xf>
    <xf numFmtId="1" fontId="54" fillId="0" borderId="30" xfId="69" applyNumberFormat="1" applyFont="1" applyFill="1" applyBorder="1" applyAlignment="1">
      <alignment horizontal="center" vertical="center"/>
    </xf>
    <xf numFmtId="0" fontId="64" fillId="0" borderId="22" xfId="0" applyFont="1" applyFill="1" applyBorder="1" applyAlignment="1">
      <alignment horizontal="center" vertical="center"/>
    </xf>
    <xf numFmtId="1" fontId="54" fillId="0" borderId="22" xfId="69" applyNumberFormat="1" applyFont="1" applyFill="1" applyBorder="1" applyAlignment="1">
      <alignment horizontal="center" vertical="center"/>
    </xf>
    <xf numFmtId="43" fontId="54" fillId="0" borderId="22" xfId="69" applyFont="1" applyFill="1" applyBorder="1" applyAlignment="1">
      <alignment horizontal="center" vertical="center"/>
    </xf>
    <xf numFmtId="0" fontId="209" fillId="0" borderId="22" xfId="0" applyFont="1" applyBorder="1" applyAlignment="1">
      <alignment horizontal="center" vertical="center"/>
    </xf>
    <xf numFmtId="0" fontId="67" fillId="0" borderId="31" xfId="0" applyNumberFormat="1" applyFont="1" applyFill="1" applyBorder="1" applyAlignment="1">
      <alignment horizontal="center" vertical="center" wrapText="1"/>
    </xf>
    <xf numFmtId="0" fontId="67" fillId="0" borderId="32" xfId="0" applyNumberFormat="1" applyFont="1" applyFill="1" applyBorder="1" applyAlignment="1">
      <alignment horizontal="center" vertical="center" wrapText="1"/>
    </xf>
    <xf numFmtId="0" fontId="68" fillId="0" borderId="21" xfId="0" applyFont="1" applyFill="1" applyBorder="1" applyAlignment="1">
      <alignment horizontal="center"/>
    </xf>
    <xf numFmtId="0" fontId="68" fillId="0" borderId="19" xfId="0" applyFont="1" applyFill="1" applyBorder="1" applyAlignment="1">
      <alignment horizontal="center"/>
    </xf>
    <xf numFmtId="0" fontId="67" fillId="0" borderId="22"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30" xfId="0" applyFont="1" applyFill="1" applyBorder="1" applyAlignment="1">
      <alignment horizontal="center" vertical="center"/>
    </xf>
    <xf numFmtId="0" fontId="67" fillId="0" borderId="34" xfId="0" applyNumberFormat="1" applyFont="1" applyFill="1" applyBorder="1" applyAlignment="1">
      <alignment horizontal="center" vertical="center" wrapText="1"/>
    </xf>
    <xf numFmtId="0" fontId="67" fillId="0" borderId="30" xfId="0" applyNumberFormat="1" applyFont="1" applyFill="1" applyBorder="1" applyAlignment="1">
      <alignment horizontal="center" vertical="center" wrapText="1"/>
    </xf>
    <xf numFmtId="0" fontId="67" fillId="0" borderId="20" xfId="0" applyFont="1" applyFill="1" applyBorder="1" applyAlignment="1">
      <alignment horizontal="center" vertical="center"/>
    </xf>
    <xf numFmtId="0" fontId="67" fillId="0" borderId="19" xfId="0" applyFont="1" applyFill="1" applyBorder="1" applyAlignment="1">
      <alignment horizontal="center" vertical="center"/>
    </xf>
    <xf numFmtId="0" fontId="67" fillId="56" borderId="20" xfId="0" applyFont="1" applyFill="1" applyBorder="1" applyAlignment="1">
      <alignment horizontal="left" vertical="center"/>
    </xf>
    <xf numFmtId="0" fontId="67" fillId="56" borderId="19" xfId="0" applyFont="1" applyFill="1" applyBorder="1" applyAlignment="1">
      <alignment horizontal="left" vertical="center"/>
    </xf>
    <xf numFmtId="0" fontId="20" fillId="0" borderId="0" xfId="106" applyFont="1" applyAlignment="1">
      <alignment horizontal="center" vertical="top" wrapText="1"/>
      <protection/>
    </xf>
    <xf numFmtId="0" fontId="20" fillId="0" borderId="0" xfId="106" applyFont="1" applyAlignment="1">
      <alignment horizontal="center" vertical="top" wrapText="1" readingOrder="1"/>
      <protection/>
    </xf>
    <xf numFmtId="0" fontId="20" fillId="0" borderId="0" xfId="0" applyFont="1" applyAlignment="1">
      <alignment horizontal="center" vertical="top" wrapText="1" readingOrder="1"/>
    </xf>
    <xf numFmtId="0" fontId="71" fillId="22" borderId="28" xfId="106" applyNumberFormat="1" applyFont="1" applyFill="1" applyBorder="1" applyAlignment="1">
      <alignment horizontal="center" vertical="center" wrapText="1" readingOrder="1"/>
      <protection/>
    </xf>
    <xf numFmtId="0" fontId="71" fillId="22" borderId="30" xfId="106" applyNumberFormat="1" applyFont="1" applyFill="1" applyBorder="1" applyAlignment="1">
      <alignment horizontal="center" vertical="center" wrapText="1" readingOrder="1"/>
      <protection/>
    </xf>
    <xf numFmtId="0" fontId="59" fillId="0" borderId="0" xfId="107" applyFont="1" applyAlignment="1">
      <alignment horizontal="right"/>
      <protection/>
    </xf>
    <xf numFmtId="0" fontId="206" fillId="0" borderId="0" xfId="0" applyFont="1" applyAlignment="1">
      <alignment horizontal="justify" vertical="top"/>
    </xf>
    <xf numFmtId="0" fontId="200" fillId="0" borderId="0" xfId="0" applyFont="1" applyAlignment="1">
      <alignment horizontal="justify" vertical="top"/>
    </xf>
    <xf numFmtId="0" fontId="206" fillId="0" borderId="0" xfId="0" applyFont="1" applyBorder="1" applyAlignment="1">
      <alignment horizontal="justify" vertical="center"/>
    </xf>
    <xf numFmtId="0" fontId="200" fillId="0" borderId="0" xfId="0" applyFont="1" applyAlignment="1">
      <alignment/>
    </xf>
    <xf numFmtId="0" fontId="24" fillId="0" borderId="0" xfId="107" applyFont="1" applyAlignment="1">
      <alignment/>
      <protection/>
    </xf>
    <xf numFmtId="0" fontId="235" fillId="0" borderId="0" xfId="0" applyFont="1" applyAlignment="1">
      <alignment horizontal="center"/>
    </xf>
    <xf numFmtId="0" fontId="206" fillId="0" borderId="0" xfId="0" applyFont="1" applyAlignment="1">
      <alignment horizontal="justify" vertical="top" wrapText="1"/>
    </xf>
    <xf numFmtId="0" fontId="200" fillId="0" borderId="0" xfId="0" applyFont="1" applyAlignment="1">
      <alignment horizontal="justify" vertical="top" wrapText="1"/>
    </xf>
    <xf numFmtId="0" fontId="226" fillId="0" borderId="0" xfId="0" applyFont="1" applyBorder="1" applyAlignment="1">
      <alignment horizontal="center" vertical="center"/>
    </xf>
    <xf numFmtId="0" fontId="59" fillId="0" borderId="0" xfId="107" applyFont="1" applyBorder="1" applyAlignment="1">
      <alignment horizontal="justify" vertical="top" wrapText="1"/>
      <protection/>
    </xf>
    <xf numFmtId="0" fontId="258" fillId="59" borderId="0" xfId="0" applyFont="1" applyFill="1" applyBorder="1" applyAlignment="1">
      <alignment horizontal="center" vertical="center"/>
    </xf>
    <xf numFmtId="0" fontId="258" fillId="59" borderId="0" xfId="0" applyFont="1" applyFill="1" applyAlignment="1">
      <alignment horizontal="center"/>
    </xf>
    <xf numFmtId="0" fontId="59" fillId="0" borderId="0" xfId="107" applyNumberFormat="1" applyFont="1" applyAlignment="1">
      <alignment horizontal="center"/>
      <protection/>
    </xf>
    <xf numFmtId="49" fontId="59" fillId="0" borderId="0" xfId="107" applyNumberFormat="1" applyFont="1" applyBorder="1" applyAlignment="1">
      <alignment horizontal="center"/>
      <protection/>
    </xf>
    <xf numFmtId="0" fontId="222" fillId="59" borderId="0" xfId="0" applyFont="1" applyFill="1" applyAlignment="1">
      <alignment horizontal="center" vertical="center"/>
    </xf>
    <xf numFmtId="0" fontId="226" fillId="59" borderId="0" xfId="0" applyFont="1" applyFill="1" applyAlignment="1">
      <alignment horizontal="center" vertical="center"/>
    </xf>
    <xf numFmtId="0" fontId="59" fillId="0" borderId="0" xfId="0" applyFont="1" applyBorder="1" applyAlignment="1">
      <alignment horizontal="justify" vertical="center"/>
    </xf>
    <xf numFmtId="0" fontId="59" fillId="0" borderId="0" xfId="0" applyFont="1" applyBorder="1" applyAlignment="1">
      <alignment horizontal="justify" vertical="top" wrapText="1"/>
    </xf>
    <xf numFmtId="0" fontId="206" fillId="0" borderId="0" xfId="0" applyFont="1" applyBorder="1" applyAlignment="1">
      <alignment horizontal="justify" vertical="top" wrapText="1"/>
    </xf>
    <xf numFmtId="49" fontId="74" fillId="0" borderId="0" xfId="107" applyNumberFormat="1" applyFont="1" applyBorder="1" applyAlignment="1">
      <alignment horizontal="center"/>
      <protection/>
    </xf>
    <xf numFmtId="0" fontId="59" fillId="0" borderId="0" xfId="107" applyNumberFormat="1" applyFont="1" applyBorder="1" applyAlignment="1">
      <alignment horizontal="center"/>
      <protection/>
    </xf>
    <xf numFmtId="171" fontId="232" fillId="0" borderId="0" xfId="70" applyNumberFormat="1" applyFont="1" applyAlignment="1">
      <alignment horizontal="center" vertical="top"/>
    </xf>
    <xf numFmtId="0" fontId="206" fillId="0" borderId="0" xfId="0" applyFont="1" applyBorder="1" applyAlignment="1">
      <alignment horizontal="center" vertical="center"/>
    </xf>
    <xf numFmtId="0" fontId="206" fillId="0" borderId="0" xfId="0" applyFont="1" applyAlignment="1">
      <alignment horizontal="justify" vertical="center" wrapText="1"/>
    </xf>
    <xf numFmtId="0" fontId="24" fillId="0" borderId="0" xfId="107" applyFont="1" applyBorder="1">
      <alignment/>
      <protection/>
    </xf>
    <xf numFmtId="0" fontId="59" fillId="0" borderId="0" xfId="107" applyFont="1" applyBorder="1" applyAlignment="1">
      <alignment horizontal="center"/>
      <protection/>
    </xf>
    <xf numFmtId="0" fontId="206" fillId="0" borderId="0" xfId="0" applyFont="1" applyAlignment="1">
      <alignment horizontal="distributed" wrapText="1"/>
    </xf>
    <xf numFmtId="0" fontId="200" fillId="0" borderId="0" xfId="0" applyFont="1" applyAlignment="1">
      <alignment horizontal="distributed" wrapText="1"/>
    </xf>
    <xf numFmtId="49" fontId="24" fillId="0" borderId="0" xfId="107" applyNumberFormat="1" applyFont="1" applyBorder="1">
      <alignment/>
      <protection/>
    </xf>
    <xf numFmtId="49" fontId="206" fillId="0" borderId="0" xfId="0" applyNumberFormat="1" applyFont="1" applyBorder="1" applyAlignment="1">
      <alignment horizontal="center"/>
    </xf>
    <xf numFmtId="0" fontId="206" fillId="0" borderId="0" xfId="0" applyFont="1" applyBorder="1" applyAlignment="1">
      <alignment horizontal="justify" vertical="top"/>
    </xf>
    <xf numFmtId="49" fontId="24" fillId="0" borderId="0" xfId="107" applyNumberFormat="1" applyFont="1">
      <alignment/>
      <protection/>
    </xf>
    <xf numFmtId="49" fontId="200" fillId="0" borderId="0" xfId="0" applyNumberFormat="1" applyFont="1" applyAlignment="1">
      <alignment horizontal="center"/>
    </xf>
    <xf numFmtId="0" fontId="232" fillId="0" borderId="23" xfId="0" applyNumberFormat="1" applyFont="1" applyBorder="1" applyAlignment="1">
      <alignment horizontal="center"/>
    </xf>
    <xf numFmtId="0" fontId="206" fillId="0" borderId="0" xfId="0" applyFont="1" applyBorder="1" applyAlignment="1">
      <alignment horizontal="left" vertical="center"/>
    </xf>
    <xf numFmtId="0" fontId="259" fillId="59" borderId="0" xfId="103" applyFont="1" applyFill="1" applyAlignment="1">
      <alignment horizontal="right" vertical="center"/>
      <protection/>
    </xf>
    <xf numFmtId="0" fontId="251" fillId="60" borderId="0" xfId="0" applyFont="1" applyFill="1" applyAlignment="1">
      <alignment horizontal="center" vertical="top"/>
    </xf>
    <xf numFmtId="0" fontId="260" fillId="60" borderId="23" xfId="103" applyFont="1" applyFill="1" applyBorder="1" applyAlignment="1">
      <alignment horizontal="right" vertical="top"/>
      <protection/>
    </xf>
    <xf numFmtId="171" fontId="199" fillId="60" borderId="0" xfId="70" applyNumberFormat="1" applyFont="1" applyFill="1" applyAlignment="1">
      <alignment horizontal="center" vertical="top"/>
    </xf>
    <xf numFmtId="171" fontId="252" fillId="60" borderId="0" xfId="70" applyNumberFormat="1" applyFont="1" applyFill="1" applyAlignment="1">
      <alignment horizontal="center" vertical="top"/>
    </xf>
    <xf numFmtId="0" fontId="36" fillId="60" borderId="34" xfId="103" applyFont="1" applyFill="1" applyBorder="1" applyAlignment="1">
      <alignment horizontal="center" vertical="center"/>
      <protection/>
    </xf>
    <xf numFmtId="0" fontId="36" fillId="60" borderId="29" xfId="103" applyFont="1" applyFill="1" applyBorder="1" applyAlignment="1">
      <alignment horizontal="center" vertical="center"/>
      <protection/>
    </xf>
    <xf numFmtId="171" fontId="39" fillId="60" borderId="21" xfId="70" applyNumberFormat="1" applyFont="1" applyFill="1" applyBorder="1" applyAlignment="1">
      <alignment horizontal="center" vertical="top"/>
    </xf>
    <xf numFmtId="171" fontId="39" fillId="60" borderId="19" xfId="70" applyNumberFormat="1" applyFont="1" applyFill="1" applyBorder="1" applyAlignment="1">
      <alignment horizontal="center" vertical="top"/>
    </xf>
    <xf numFmtId="0" fontId="36" fillId="60" borderId="34" xfId="103" applyFont="1" applyFill="1" applyBorder="1" applyAlignment="1">
      <alignment horizontal="center" vertical="top" wrapText="1"/>
      <protection/>
    </xf>
    <xf numFmtId="0" fontId="36" fillId="60" borderId="30" xfId="103" applyFont="1" applyFill="1" applyBorder="1" applyAlignment="1">
      <alignment horizontal="center" vertical="top" wrapText="1"/>
      <protection/>
    </xf>
    <xf numFmtId="171" fontId="199" fillId="0" borderId="0" xfId="70" applyNumberFormat="1" applyFont="1" applyAlignment="1">
      <alignment horizontal="center" vertical="top"/>
    </xf>
    <xf numFmtId="171" fontId="0" fillId="0" borderId="0" xfId="70" applyNumberFormat="1" applyFont="1" applyAlignment="1">
      <alignment horizontal="center"/>
    </xf>
    <xf numFmtId="171" fontId="182" fillId="0" borderId="0" xfId="70" applyNumberFormat="1" applyFont="1" applyAlignment="1">
      <alignment horizontal="center"/>
    </xf>
    <xf numFmtId="0" fontId="185" fillId="59" borderId="0" xfId="103" applyFont="1" applyFill="1" applyAlignment="1">
      <alignment horizontal="right" vertical="center"/>
      <protection/>
    </xf>
    <xf numFmtId="0" fontId="261" fillId="0" borderId="0" xfId="103" applyFont="1" applyAlignment="1">
      <alignment horizontal="center"/>
      <protection/>
    </xf>
    <xf numFmtId="0" fontId="261" fillId="0" borderId="0" xfId="103" applyNumberFormat="1" applyFont="1" applyAlignment="1">
      <alignment horizontal="center"/>
      <protection/>
    </xf>
    <xf numFmtId="0" fontId="262" fillId="0" borderId="0" xfId="103" applyFont="1" applyAlignment="1">
      <alignment horizontal="center"/>
      <protection/>
    </xf>
    <xf numFmtId="0" fontId="136" fillId="0" borderId="23" xfId="103" applyFont="1" applyBorder="1" applyAlignment="1">
      <alignment horizontal="right"/>
      <protection/>
    </xf>
    <xf numFmtId="0" fontId="261" fillId="0" borderId="0" xfId="103" applyFont="1" applyAlignment="1">
      <alignment horizontal="center" vertical="center"/>
      <protection/>
    </xf>
    <xf numFmtId="0" fontId="261" fillId="0" borderId="0" xfId="103" applyNumberFormat="1" applyFont="1" applyAlignment="1">
      <alignment horizontal="center" vertical="center"/>
      <protection/>
    </xf>
    <xf numFmtId="0" fontId="194" fillId="0" borderId="0" xfId="0" applyFont="1" applyAlignment="1">
      <alignment horizontal="center" vertical="top"/>
    </xf>
    <xf numFmtId="0" fontId="34" fillId="0" borderId="0" xfId="103" applyFont="1" applyBorder="1" applyAlignment="1">
      <alignment horizontal="right" vertical="center"/>
      <protection/>
    </xf>
    <xf numFmtId="171" fontId="201" fillId="0" borderId="0" xfId="70" applyNumberFormat="1" applyFont="1" applyAlignment="1">
      <alignment horizontal="center"/>
    </xf>
    <xf numFmtId="171" fontId="200" fillId="0" borderId="0" xfId="70" applyNumberFormat="1" applyFont="1" applyAlignment="1">
      <alignment horizontal="center"/>
    </xf>
    <xf numFmtId="0" fontId="222" fillId="59" borderId="0" xfId="103" applyFont="1" applyFill="1" applyAlignment="1">
      <alignment horizontal="right" vertical="center"/>
      <protection/>
    </xf>
    <xf numFmtId="0" fontId="263" fillId="0" borderId="0" xfId="103" applyFont="1" applyAlignment="1">
      <alignment horizontal="center"/>
      <protection/>
    </xf>
    <xf numFmtId="0" fontId="263" fillId="0" borderId="0" xfId="103" applyNumberFormat="1" applyFont="1" applyAlignment="1">
      <alignment horizontal="center"/>
      <protection/>
    </xf>
    <xf numFmtId="0" fontId="200" fillId="0" borderId="0" xfId="0" applyFont="1" applyAlignment="1">
      <alignment horizontal="center" vertical="top"/>
    </xf>
    <xf numFmtId="0" fontId="49" fillId="0" borderId="23" xfId="103" applyFont="1" applyBorder="1" applyAlignment="1">
      <alignment horizontal="right"/>
      <protection/>
    </xf>
    <xf numFmtId="171" fontId="21" fillId="0" borderId="21" xfId="70" applyNumberFormat="1" applyFont="1" applyFill="1" applyBorder="1" applyAlignment="1">
      <alignment horizontal="center" vertical="center" wrapText="1"/>
    </xf>
    <xf numFmtId="171" fontId="21" fillId="0" borderId="20" xfId="70" applyNumberFormat="1" applyFont="1" applyFill="1" applyBorder="1" applyAlignment="1">
      <alignment horizontal="center" vertical="center" wrapText="1"/>
    </xf>
    <xf numFmtId="0" fontId="191" fillId="0" borderId="22" xfId="0" applyFont="1" applyFill="1" applyBorder="1" applyAlignment="1" quotePrefix="1">
      <alignment horizontal="left" vertical="top" wrapText="1"/>
    </xf>
    <xf numFmtId="0" fontId="200" fillId="0" borderId="22" xfId="0" applyFont="1" applyFill="1" applyBorder="1" applyAlignment="1">
      <alignment horizontal="left" vertical="top" wrapText="1"/>
    </xf>
    <xf numFmtId="168" fontId="264" fillId="0" borderId="22" xfId="0" applyNumberFormat="1" applyFont="1" applyFill="1" applyBorder="1" applyAlignment="1">
      <alignment horizontal="left" vertical="top" wrapText="1"/>
    </xf>
    <xf numFmtId="0" fontId="230" fillId="0" borderId="22" xfId="0" applyFont="1" applyFill="1" applyBorder="1" applyAlignment="1">
      <alignment horizontal="left" vertical="top" wrapText="1"/>
    </xf>
    <xf numFmtId="168" fontId="245" fillId="0" borderId="22" xfId="0" applyNumberFormat="1" applyFont="1" applyFill="1" applyBorder="1" applyAlignment="1">
      <alignment horizontal="left" vertical="top" wrapText="1"/>
    </xf>
    <xf numFmtId="0" fontId="227" fillId="0" borderId="22" xfId="0" applyFont="1" applyFill="1" applyBorder="1" applyAlignment="1">
      <alignment horizontal="left" vertical="top" wrapText="1"/>
    </xf>
    <xf numFmtId="0" fontId="186" fillId="0" borderId="22" xfId="0" applyNumberFormat="1" applyFont="1" applyFill="1" applyBorder="1" applyAlignment="1">
      <alignment horizontal="center" vertical="top" wrapText="1"/>
    </xf>
    <xf numFmtId="0" fontId="186" fillId="0" borderId="22" xfId="0" applyNumberFormat="1" applyFont="1" applyFill="1" applyBorder="1" applyAlignment="1">
      <alignment horizontal="justify" vertical="top" wrapText="1"/>
    </xf>
    <xf numFmtId="171" fontId="225" fillId="0" borderId="22" xfId="70" applyNumberFormat="1" applyFont="1" applyFill="1" applyBorder="1" applyAlignment="1">
      <alignment horizontal="left" vertical="center" wrapText="1"/>
    </xf>
    <xf numFmtId="0" fontId="190" fillId="0" borderId="21" xfId="0" applyNumberFormat="1" applyFont="1" applyFill="1" applyBorder="1" applyAlignment="1">
      <alignment horizontal="center" vertical="top" wrapText="1"/>
    </xf>
    <xf numFmtId="0" fontId="190" fillId="0" borderId="20" xfId="0" applyNumberFormat="1" applyFont="1" applyFill="1" applyBorder="1" applyAlignment="1">
      <alignment horizontal="center" vertical="top" wrapText="1"/>
    </xf>
    <xf numFmtId="0" fontId="190" fillId="0" borderId="19" xfId="0" applyNumberFormat="1" applyFont="1" applyFill="1" applyBorder="1" applyAlignment="1">
      <alignment horizontal="center" vertical="top" wrapText="1"/>
    </xf>
    <xf numFmtId="171" fontId="26" fillId="0" borderId="22" xfId="70" applyNumberFormat="1" applyFont="1" applyFill="1" applyBorder="1" applyAlignment="1">
      <alignment horizontal="left" vertical="top" wrapText="1"/>
    </xf>
    <xf numFmtId="0" fontId="186" fillId="0" borderId="0" xfId="0" applyNumberFormat="1" applyFont="1" applyFill="1" applyAlignment="1">
      <alignment horizontal="justify" vertical="top" wrapText="1"/>
    </xf>
    <xf numFmtId="0" fontId="190" fillId="0" borderId="22" xfId="0" applyNumberFormat="1" applyFont="1" applyFill="1" applyBorder="1" applyAlignment="1">
      <alignment horizontal="center" vertical="top" wrapText="1"/>
    </xf>
    <xf numFmtId="0" fontId="26" fillId="0" borderId="22" xfId="0" applyNumberFormat="1" applyFont="1" applyFill="1" applyBorder="1" applyAlignment="1">
      <alignment horizontal="center" vertical="center" wrapText="1"/>
    </xf>
    <xf numFmtId="0" fontId="186" fillId="0" borderId="0" xfId="0" applyNumberFormat="1" applyFont="1" applyFill="1" applyAlignment="1">
      <alignment horizontal="justify" vertical="center" wrapText="1"/>
    </xf>
    <xf numFmtId="171" fontId="25" fillId="0" borderId="22" xfId="70" applyNumberFormat="1" applyFont="1" applyFill="1" applyBorder="1" applyAlignment="1">
      <alignment horizontal="left" vertical="center" wrapText="1"/>
    </xf>
    <xf numFmtId="0" fontId="245" fillId="0" borderId="22" xfId="0" applyFont="1" applyFill="1" applyBorder="1" applyAlignment="1" quotePrefix="1">
      <alignment horizontal="center" vertical="center" wrapText="1"/>
    </xf>
    <xf numFmtId="0" fontId="227" fillId="0" borderId="22" xfId="0" applyFont="1" applyFill="1" applyBorder="1" applyAlignment="1">
      <alignment horizontal="center" vertical="center" wrapText="1"/>
    </xf>
    <xf numFmtId="41" fontId="186" fillId="0" borderId="21" xfId="70" applyFont="1" applyFill="1" applyBorder="1" applyAlignment="1">
      <alignment horizontal="center" vertical="center" wrapText="1"/>
    </xf>
    <xf numFmtId="41" fontId="186" fillId="0" borderId="20" xfId="70" applyFont="1" applyFill="1" applyBorder="1" applyAlignment="1">
      <alignment horizontal="center" vertical="center" wrapText="1"/>
    </xf>
    <xf numFmtId="41" fontId="186" fillId="0" borderId="19" xfId="70" applyFont="1" applyFill="1" applyBorder="1" applyAlignment="1">
      <alignment horizontal="center" vertical="center" wrapText="1"/>
    </xf>
    <xf numFmtId="0" fontId="186" fillId="0" borderId="21" xfId="0" applyFont="1" applyFill="1" applyBorder="1" applyAlignment="1">
      <alignment horizontal="center" vertical="center" wrapText="1"/>
    </xf>
    <xf numFmtId="0" fontId="186" fillId="0" borderId="20" xfId="0" applyFont="1" applyFill="1" applyBorder="1" applyAlignment="1">
      <alignment horizontal="center" vertical="center" wrapText="1"/>
    </xf>
    <xf numFmtId="0" fontId="186" fillId="0" borderId="19" xfId="0" applyFont="1" applyFill="1" applyBorder="1" applyAlignment="1">
      <alignment horizontal="center" vertical="center" wrapText="1"/>
    </xf>
    <xf numFmtId="43" fontId="265" fillId="0" borderId="22" xfId="69" applyFont="1" applyFill="1" applyBorder="1" applyAlignment="1">
      <alignment horizontal="center" vertical="center" wrapText="1"/>
    </xf>
    <xf numFmtId="0" fontId="186" fillId="0" borderId="20" xfId="0" applyFont="1" applyFill="1" applyBorder="1" applyAlignment="1">
      <alignment horizontal="left" vertical="top"/>
    </xf>
    <xf numFmtId="0" fontId="186" fillId="0" borderId="19" xfId="0" applyFont="1" applyFill="1" applyBorder="1" applyAlignment="1">
      <alignment horizontal="left" vertical="top"/>
    </xf>
    <xf numFmtId="171" fontId="21" fillId="0" borderId="22" xfId="70" applyNumberFormat="1" applyFont="1" applyFill="1" applyBorder="1" applyAlignment="1">
      <alignment horizontal="center" vertical="center" wrapText="1"/>
    </xf>
    <xf numFmtId="0" fontId="0" fillId="0" borderId="22" xfId="0" applyFill="1" applyBorder="1" applyAlignment="1">
      <alignment/>
    </xf>
    <xf numFmtId="171" fontId="22" fillId="0" borderId="22" xfId="70" applyNumberFormat="1" applyFont="1" applyFill="1" applyBorder="1" applyAlignment="1">
      <alignment horizontal="center" vertical="center" wrapText="1"/>
    </xf>
    <xf numFmtId="0" fontId="0" fillId="0" borderId="20" xfId="0" applyFill="1" applyBorder="1" applyAlignment="1">
      <alignment/>
    </xf>
    <xf numFmtId="0" fontId="0" fillId="0" borderId="19" xfId="0" applyFill="1" applyBorder="1" applyAlignment="1">
      <alignment/>
    </xf>
    <xf numFmtId="0" fontId="193" fillId="0" borderId="22" xfId="0" applyFont="1" applyFill="1" applyBorder="1" applyAlignment="1">
      <alignment horizontal="center" vertical="center" wrapText="1"/>
    </xf>
    <xf numFmtId="171" fontId="200" fillId="0" borderId="22" xfId="70" applyNumberFormat="1" applyFont="1" applyFill="1" applyBorder="1" applyAlignment="1">
      <alignment horizontal="center"/>
    </xf>
    <xf numFmtId="43" fontId="196" fillId="0" borderId="22" xfId="69" applyNumberFormat="1" applyFont="1" applyFill="1" applyBorder="1" applyAlignment="1">
      <alignment horizontal="center" vertical="center" wrapText="1"/>
    </xf>
    <xf numFmtId="0" fontId="25" fillId="0" borderId="0" xfId="0" applyFont="1" applyFill="1" applyBorder="1" applyAlignment="1">
      <alignment horizontal="left" wrapText="1"/>
    </xf>
    <xf numFmtId="171" fontId="21" fillId="0" borderId="0" xfId="70" applyNumberFormat="1" applyFont="1" applyFill="1" applyBorder="1" applyAlignment="1">
      <alignment horizontal="center" vertical="center" wrapText="1"/>
    </xf>
    <xf numFmtId="168" fontId="264" fillId="0" borderId="0" xfId="0" applyNumberFormat="1" applyFont="1" applyFill="1" applyBorder="1" applyAlignment="1">
      <alignment horizontal="left" vertical="top" wrapText="1"/>
    </xf>
    <xf numFmtId="0" fontId="230" fillId="0" borderId="0" xfId="0" applyFont="1" applyFill="1" applyBorder="1" applyAlignment="1">
      <alignment horizontal="left" vertical="top" wrapText="1"/>
    </xf>
    <xf numFmtId="168" fontId="264" fillId="0" borderId="21" xfId="0" applyNumberFormat="1" applyFont="1" applyFill="1" applyBorder="1" applyAlignment="1">
      <alignment horizontal="left" vertical="top" wrapText="1"/>
    </xf>
    <xf numFmtId="0" fontId="264" fillId="0" borderId="22" xfId="0" applyFont="1" applyFill="1" applyBorder="1" applyAlignment="1">
      <alignment horizontal="center" vertical="center" wrapText="1"/>
    </xf>
    <xf numFmtId="0" fontId="230" fillId="0" borderId="22" xfId="0" applyFont="1" applyFill="1" applyBorder="1" applyAlignment="1">
      <alignment horizontal="center" vertical="center" wrapText="1"/>
    </xf>
    <xf numFmtId="171" fontId="22" fillId="0" borderId="21" xfId="70" applyNumberFormat="1" applyFont="1" applyFill="1" applyBorder="1" applyAlignment="1">
      <alignment horizontal="center" vertical="center" wrapText="1"/>
    </xf>
    <xf numFmtId="0" fontId="191" fillId="0" borderId="23" xfId="0" applyFont="1" applyFill="1" applyBorder="1" applyAlignment="1">
      <alignment horizontal="center" vertical="top"/>
    </xf>
    <xf numFmtId="0" fontId="26" fillId="0" borderId="0" xfId="0" applyFont="1" applyFill="1" applyAlignment="1">
      <alignment horizontal="left" vertical="top" wrapText="1"/>
    </xf>
    <xf numFmtId="0" fontId="26" fillId="0" borderId="0" xfId="0" applyFont="1" applyFill="1" applyAlignment="1" quotePrefix="1">
      <alignment horizontal="left" vertical="top" wrapText="1"/>
    </xf>
    <xf numFmtId="0" fontId="186" fillId="0" borderId="0" xfId="0" applyFont="1" applyFill="1" applyBorder="1" applyAlignment="1">
      <alignment horizontal="justify" vertical="top" wrapText="1"/>
    </xf>
    <xf numFmtId="0" fontId="264" fillId="0" borderId="22" xfId="0" applyFont="1" applyFill="1" applyBorder="1" applyAlignment="1" quotePrefix="1">
      <alignment horizontal="left" vertical="top" wrapText="1"/>
    </xf>
    <xf numFmtId="0" fontId="186" fillId="0" borderId="21" xfId="0" applyFont="1" applyFill="1" applyBorder="1" applyAlignment="1">
      <alignment horizontal="left" vertical="top" wrapText="1"/>
    </xf>
    <xf numFmtId="0" fontId="186" fillId="0" borderId="20" xfId="0" applyFont="1" applyFill="1" applyBorder="1" applyAlignment="1">
      <alignment horizontal="left" vertical="top" wrapText="1"/>
    </xf>
    <xf numFmtId="0" fontId="186" fillId="0" borderId="19" xfId="0" applyFont="1" applyFill="1" applyBorder="1" applyAlignment="1">
      <alignment horizontal="left" vertical="top" wrapText="1"/>
    </xf>
    <xf numFmtId="43" fontId="186" fillId="0" borderId="22" xfId="69" applyFont="1" applyFill="1" applyBorder="1" applyAlignment="1">
      <alignment horizontal="left" vertical="top" wrapText="1"/>
    </xf>
    <xf numFmtId="1" fontId="190" fillId="0" borderId="31" xfId="0" applyNumberFormat="1" applyFont="1" applyFill="1" applyBorder="1" applyAlignment="1">
      <alignment horizontal="center" vertical="center" wrapText="1"/>
    </xf>
    <xf numFmtId="1" fontId="190" fillId="0" borderId="56" xfId="0" applyNumberFormat="1" applyFont="1" applyFill="1" applyBorder="1" applyAlignment="1">
      <alignment horizontal="center" vertical="center" wrapText="1"/>
    </xf>
    <xf numFmtId="1" fontId="190" fillId="0" borderId="35" xfId="0" applyNumberFormat="1" applyFont="1" applyFill="1" applyBorder="1" applyAlignment="1">
      <alignment horizontal="center" vertical="center" wrapText="1"/>
    </xf>
    <xf numFmtId="171" fontId="22" fillId="0" borderId="20" xfId="70" applyNumberFormat="1" applyFont="1" applyFill="1" applyBorder="1" applyAlignment="1">
      <alignment horizontal="center" vertical="center" wrapText="1"/>
    </xf>
    <xf numFmtId="0" fontId="186" fillId="0" borderId="0" xfId="0" applyFont="1" applyFill="1" applyAlignment="1">
      <alignment horizontal="center" vertical="top"/>
    </xf>
    <xf numFmtId="0" fontId="266" fillId="0" borderId="0" xfId="0" applyFont="1" applyFill="1" applyBorder="1" applyAlignment="1">
      <alignment horizontal="left" vertical="center" wrapText="1" readingOrder="1"/>
    </xf>
    <xf numFmtId="171" fontId="225" fillId="0" borderId="0" xfId="70" applyNumberFormat="1" applyFont="1" applyFill="1" applyBorder="1" applyAlignment="1">
      <alignment horizontal="left" vertical="center" wrapText="1"/>
    </xf>
    <xf numFmtId="0" fontId="237" fillId="0" borderId="0" xfId="0" applyFont="1" applyFill="1" applyBorder="1" applyAlignment="1">
      <alignment horizontal="center" vertical="center" wrapText="1" readingOrder="1"/>
    </xf>
    <xf numFmtId="171" fontId="238" fillId="0" borderId="0" xfId="70" applyNumberFormat="1" applyFont="1" applyFill="1" applyBorder="1" applyAlignment="1">
      <alignment horizontal="left" vertical="top" wrapText="1"/>
    </xf>
    <xf numFmtId="0" fontId="26" fillId="0" borderId="0" xfId="0" applyFont="1" applyFill="1" applyAlignment="1">
      <alignment horizontal="center"/>
    </xf>
    <xf numFmtId="0" fontId="59" fillId="0" borderId="0" xfId="107" applyNumberFormat="1" applyFont="1" applyFill="1" applyBorder="1" applyAlignment="1">
      <alignment horizontal="center"/>
      <protection/>
    </xf>
    <xf numFmtId="0" fontId="200" fillId="0" borderId="0" xfId="0" applyFont="1" applyFill="1" applyAlignment="1">
      <alignment horizontal="justify" vertical="top" wrapText="1"/>
    </xf>
    <xf numFmtId="49" fontId="267" fillId="0" borderId="0" xfId="0" applyNumberFormat="1" applyFont="1" applyFill="1" applyBorder="1" applyAlignment="1">
      <alignment horizontal="center" vertical="center"/>
    </xf>
    <xf numFmtId="171" fontId="24" fillId="0" borderId="0" xfId="70" applyNumberFormat="1"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vertical="top" wrapText="1"/>
    </xf>
    <xf numFmtId="0" fontId="59" fillId="0" borderId="0" xfId="107" applyFont="1" applyFill="1" applyBorder="1" applyAlignment="1">
      <alignment horizontal="center"/>
      <protection/>
    </xf>
    <xf numFmtId="0" fontId="191" fillId="0" borderId="21" xfId="0" applyFont="1" applyFill="1" applyBorder="1" applyAlignment="1">
      <alignment horizontal="left" vertical="center" wrapText="1"/>
    </xf>
    <xf numFmtId="0" fontId="191" fillId="0" borderId="20" xfId="0" applyFont="1" applyFill="1" applyBorder="1" applyAlignment="1">
      <alignment horizontal="left" vertical="center" wrapText="1"/>
    </xf>
    <xf numFmtId="0" fontId="191" fillId="0" borderId="19"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200" fillId="0" borderId="20" xfId="0" applyFont="1" applyFill="1" applyBorder="1" applyAlignment="1">
      <alignment horizontal="left" vertical="center" wrapText="1"/>
    </xf>
    <xf numFmtId="0" fontId="200" fillId="0" borderId="19"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05" fillId="0" borderId="21" xfId="0" applyFont="1" applyFill="1" applyBorder="1" applyAlignment="1">
      <alignment vertical="center" wrapText="1"/>
    </xf>
    <xf numFmtId="0" fontId="205" fillId="0" borderId="20" xfId="0" applyFont="1" applyFill="1" applyBorder="1" applyAlignment="1">
      <alignment vertical="center" wrapText="1"/>
    </xf>
    <xf numFmtId="0" fontId="205" fillId="0" borderId="19" xfId="0" applyFont="1" applyFill="1" applyBorder="1" applyAlignment="1">
      <alignment vertical="center" wrapText="1"/>
    </xf>
    <xf numFmtId="0" fontId="190" fillId="0" borderId="21" xfId="0" applyFont="1" applyFill="1" applyBorder="1" applyAlignment="1">
      <alignment horizontal="center" vertical="center" wrapText="1"/>
    </xf>
    <xf numFmtId="0" fontId="190" fillId="0" borderId="20" xfId="0" applyFont="1" applyFill="1" applyBorder="1" applyAlignment="1">
      <alignment horizontal="center" vertical="center" wrapText="1"/>
    </xf>
    <xf numFmtId="0" fontId="190" fillId="0" borderId="19" xfId="0" applyFont="1" applyFill="1" applyBorder="1" applyAlignment="1">
      <alignment horizontal="center" vertical="center" wrapText="1"/>
    </xf>
    <xf numFmtId="171" fontId="186" fillId="0" borderId="21" xfId="70" applyNumberFormat="1" applyFont="1" applyFill="1" applyBorder="1" applyAlignment="1">
      <alignment horizontal="center" vertical="top" wrapText="1"/>
    </xf>
    <xf numFmtId="171" fontId="186" fillId="0" borderId="20" xfId="70" applyNumberFormat="1" applyFont="1" applyFill="1" applyBorder="1" applyAlignment="1">
      <alignment horizontal="center" vertical="top" wrapText="1"/>
    </xf>
    <xf numFmtId="171" fontId="186" fillId="0" borderId="19" xfId="70" applyNumberFormat="1" applyFont="1" applyFill="1" applyBorder="1" applyAlignment="1">
      <alignment horizontal="center" vertical="top" wrapText="1"/>
    </xf>
    <xf numFmtId="0" fontId="225" fillId="0" borderId="0" xfId="0" applyFont="1" applyFill="1" applyAlignment="1">
      <alignment horizontal="justify" vertical="top" wrapText="1"/>
    </xf>
    <xf numFmtId="0" fontId="268" fillId="0" borderId="0" xfId="0" applyFont="1" applyFill="1" applyBorder="1" applyAlignment="1">
      <alignment vertical="top" wrapText="1"/>
    </xf>
    <xf numFmtId="0" fontId="25" fillId="0" borderId="0" xfId="0" applyFont="1" applyFill="1" applyAlignment="1">
      <alignment horizontal="left" vertical="top" wrapText="1"/>
    </xf>
    <xf numFmtId="0" fontId="196" fillId="0" borderId="0" xfId="0" applyFont="1" applyFill="1" applyBorder="1" applyAlignment="1">
      <alignment horizontal="left" vertical="top"/>
    </xf>
    <xf numFmtId="0" fontId="266" fillId="0" borderId="0" xfId="0" applyFont="1" applyFill="1" applyBorder="1" applyAlignment="1">
      <alignment horizontal="center" vertical="center"/>
    </xf>
    <xf numFmtId="0" fontId="38" fillId="0" borderId="0" xfId="0" applyFont="1" applyFill="1" applyAlignment="1">
      <alignment horizontal="left" vertical="top" wrapText="1"/>
    </xf>
    <xf numFmtId="0" fontId="269" fillId="0" borderId="33" xfId="0" applyFont="1" applyFill="1" applyBorder="1" applyAlignment="1">
      <alignment horizontal="center" vertical="top"/>
    </xf>
    <xf numFmtId="0" fontId="269" fillId="0" borderId="0" xfId="0" applyFont="1" applyFill="1" applyBorder="1" applyAlignment="1">
      <alignment horizontal="center" vertical="top"/>
    </xf>
    <xf numFmtId="0" fontId="25" fillId="0" borderId="0" xfId="0" applyFont="1" applyFill="1" applyAlignment="1">
      <alignment horizontal="justify" vertical="top" wrapText="1"/>
    </xf>
    <xf numFmtId="0" fontId="268" fillId="0" borderId="0" xfId="0" applyNumberFormat="1" applyFont="1" applyFill="1" applyAlignment="1">
      <alignment horizontal="justify" vertical="center" wrapText="1"/>
    </xf>
    <xf numFmtId="41" fontId="196" fillId="0" borderId="21" xfId="70" applyFont="1" applyFill="1" applyBorder="1" applyAlignment="1">
      <alignment horizontal="center" vertical="center" wrapText="1"/>
    </xf>
    <xf numFmtId="41" fontId="196" fillId="0" borderId="20" xfId="70" applyFont="1" applyFill="1" applyBorder="1" applyAlignment="1">
      <alignment horizontal="center" vertical="center" wrapText="1"/>
    </xf>
    <xf numFmtId="41" fontId="196" fillId="0" borderId="19" xfId="70" applyFont="1" applyFill="1" applyBorder="1" applyAlignment="1">
      <alignment horizontal="center" vertical="center" wrapText="1"/>
    </xf>
    <xf numFmtId="0" fontId="186" fillId="0" borderId="56" xfId="0" applyFont="1" applyFill="1" applyBorder="1" applyAlignment="1">
      <alignment horizontal="left" vertical="top" wrapText="1"/>
    </xf>
    <xf numFmtId="171" fontId="270" fillId="0" borderId="22" xfId="70" applyNumberFormat="1" applyFont="1" applyFill="1" applyBorder="1" applyAlignment="1">
      <alignment horizontal="center" vertical="center" wrapText="1"/>
    </xf>
    <xf numFmtId="0" fontId="193" fillId="0" borderId="21" xfId="0" applyNumberFormat="1" applyFont="1" applyFill="1" applyBorder="1" applyAlignment="1">
      <alignment horizontal="center" vertical="center" wrapText="1"/>
    </xf>
    <xf numFmtId="0" fontId="193" fillId="0" borderId="20" xfId="0" applyNumberFormat="1" applyFont="1" applyFill="1" applyBorder="1" applyAlignment="1">
      <alignment horizontal="center" vertical="center" wrapText="1"/>
    </xf>
    <xf numFmtId="0" fontId="193" fillId="0" borderId="19" xfId="0" applyNumberFormat="1" applyFont="1" applyFill="1" applyBorder="1" applyAlignment="1">
      <alignment horizontal="center" vertical="center" wrapText="1"/>
    </xf>
    <xf numFmtId="41" fontId="193" fillId="0" borderId="22" xfId="0" applyNumberFormat="1" applyFont="1" applyFill="1" applyBorder="1" applyAlignment="1">
      <alignment horizontal="center" vertical="center" wrapText="1"/>
    </xf>
    <xf numFmtId="1" fontId="193" fillId="0" borderId="22" xfId="0" applyNumberFormat="1" applyFont="1" applyFill="1" applyBorder="1" applyAlignment="1">
      <alignment horizontal="center" vertical="center" wrapText="1"/>
    </xf>
    <xf numFmtId="171" fontId="270" fillId="0" borderId="21" xfId="70" applyNumberFormat="1" applyFont="1" applyFill="1" applyBorder="1" applyAlignment="1">
      <alignment horizontal="center" vertical="center" wrapText="1"/>
    </xf>
    <xf numFmtId="171" fontId="270" fillId="0" borderId="20" xfId="70" applyNumberFormat="1" applyFont="1" applyFill="1" applyBorder="1" applyAlignment="1">
      <alignment horizontal="center" vertical="center" wrapText="1"/>
    </xf>
    <xf numFmtId="171" fontId="270" fillId="0" borderId="19" xfId="70" applyNumberFormat="1" applyFont="1" applyFill="1" applyBorder="1" applyAlignment="1">
      <alignment horizontal="center" vertical="center" wrapText="1"/>
    </xf>
    <xf numFmtId="0" fontId="271" fillId="0" borderId="0" xfId="0" applyFont="1" applyFill="1" applyBorder="1" applyAlignment="1">
      <alignment horizontal="left" vertical="top" wrapText="1"/>
    </xf>
    <xf numFmtId="0" fontId="272" fillId="0" borderId="34" xfId="0" applyFont="1" applyFill="1" applyBorder="1" applyAlignment="1">
      <alignment horizontal="center" vertical="center"/>
    </xf>
    <xf numFmtId="0" fontId="272" fillId="0" borderId="30" xfId="0" applyFont="1" applyFill="1" applyBorder="1" applyAlignment="1">
      <alignment horizontal="center" vertical="center"/>
    </xf>
    <xf numFmtId="171" fontId="189" fillId="0" borderId="21" xfId="70" applyNumberFormat="1" applyFont="1" applyFill="1" applyBorder="1" applyAlignment="1">
      <alignment horizontal="center" vertical="center" wrapText="1"/>
    </xf>
    <xf numFmtId="171" fontId="189" fillId="0" borderId="20" xfId="70" applyNumberFormat="1" applyFont="1" applyFill="1" applyBorder="1" applyAlignment="1">
      <alignment horizontal="center" vertical="center" wrapText="1"/>
    </xf>
    <xf numFmtId="171" fontId="189" fillId="0" borderId="19" xfId="70" applyNumberFormat="1" applyFont="1" applyFill="1" applyBorder="1" applyAlignment="1">
      <alignment horizontal="center" vertical="center" wrapText="1"/>
    </xf>
    <xf numFmtId="0" fontId="272" fillId="0" borderId="21" xfId="0" applyNumberFormat="1" applyFont="1" applyFill="1" applyBorder="1" applyAlignment="1" quotePrefix="1">
      <alignment horizontal="center" vertical="center" wrapText="1"/>
    </xf>
    <xf numFmtId="0" fontId="272" fillId="0" borderId="20" xfId="0" applyNumberFormat="1" applyFont="1" applyFill="1" applyBorder="1" applyAlignment="1" quotePrefix="1">
      <alignment horizontal="center" vertical="center" wrapText="1"/>
    </xf>
    <xf numFmtId="0" fontId="272" fillId="0" borderId="19" xfId="0" applyNumberFormat="1" applyFont="1" applyFill="1" applyBorder="1" applyAlignment="1" quotePrefix="1">
      <alignment horizontal="center" vertical="center" wrapText="1"/>
    </xf>
    <xf numFmtId="0" fontId="193" fillId="0" borderId="21" xfId="0" applyFont="1" applyFill="1" applyBorder="1" applyAlignment="1">
      <alignment horizontal="center" vertical="center" wrapText="1"/>
    </xf>
    <xf numFmtId="0" fontId="193" fillId="0" borderId="20" xfId="0" applyFont="1" applyFill="1" applyBorder="1" applyAlignment="1">
      <alignment horizontal="center" vertical="center" wrapText="1"/>
    </xf>
    <xf numFmtId="0" fontId="193" fillId="0" borderId="19" xfId="0" applyFont="1" applyFill="1" applyBorder="1" applyAlignment="1">
      <alignment horizontal="center" vertical="center" wrapText="1"/>
    </xf>
    <xf numFmtId="0" fontId="200" fillId="0" borderId="0" xfId="0" applyFont="1" applyFill="1" applyBorder="1" applyAlignment="1">
      <alignment horizontal="left" vertical="top" wrapText="1"/>
    </xf>
    <xf numFmtId="0" fontId="200" fillId="0" borderId="0" xfId="0" applyFont="1" applyFill="1" applyBorder="1" applyAlignment="1">
      <alignment horizontal="justify" vertical="top" wrapText="1"/>
    </xf>
    <xf numFmtId="0" fontId="272" fillId="0" borderId="22" xfId="0" applyFont="1" applyFill="1" applyBorder="1" applyAlignment="1">
      <alignment horizontal="center" vertical="center" wrapText="1"/>
    </xf>
    <xf numFmtId="41" fontId="272" fillId="0" borderId="22" xfId="0" applyNumberFormat="1" applyFont="1" applyFill="1" applyBorder="1" applyAlignment="1">
      <alignment horizontal="center" vertical="center" wrapText="1"/>
    </xf>
    <xf numFmtId="0" fontId="188" fillId="0" borderId="21" xfId="0" applyFont="1" applyFill="1" applyBorder="1" applyAlignment="1">
      <alignment horizontal="center" vertical="center" wrapText="1"/>
    </xf>
    <xf numFmtId="0" fontId="188" fillId="0" borderId="19" xfId="0" applyFont="1" applyFill="1" applyBorder="1" applyAlignment="1">
      <alignment horizontal="center" vertical="center" wrapText="1"/>
    </xf>
    <xf numFmtId="0" fontId="272" fillId="0" borderId="21" xfId="70" applyNumberFormat="1" applyFont="1" applyFill="1" applyBorder="1" applyAlignment="1" quotePrefix="1">
      <alignment horizontal="center" vertical="center" wrapText="1"/>
    </xf>
    <xf numFmtId="0" fontId="272" fillId="0" borderId="20" xfId="70" applyNumberFormat="1" applyFont="1" applyFill="1" applyBorder="1" applyAlignment="1">
      <alignment horizontal="center" vertical="center" wrapText="1"/>
    </xf>
    <xf numFmtId="0" fontId="272" fillId="0" borderId="19" xfId="70" applyNumberFormat="1" applyFont="1" applyFill="1" applyBorder="1" applyAlignment="1">
      <alignment horizontal="center" vertical="center" wrapText="1"/>
    </xf>
    <xf numFmtId="0" fontId="272" fillId="0" borderId="20" xfId="0" applyNumberFormat="1" applyFont="1" applyFill="1" applyBorder="1" applyAlignment="1">
      <alignment horizontal="center" vertical="center" wrapText="1"/>
    </xf>
    <xf numFmtId="0" fontId="272" fillId="0" borderId="19" xfId="0" applyNumberFormat="1" applyFont="1" applyFill="1" applyBorder="1" applyAlignment="1">
      <alignment horizontal="center" vertical="center" wrapText="1"/>
    </xf>
    <xf numFmtId="1" fontId="272" fillId="0" borderId="22" xfId="0" applyNumberFormat="1" applyFont="1" applyFill="1" applyBorder="1" applyAlignment="1">
      <alignment horizontal="center" vertical="center" wrapText="1"/>
    </xf>
    <xf numFmtId="0" fontId="273" fillId="0" borderId="21" xfId="0" applyFont="1" applyFill="1" applyBorder="1" applyAlignment="1">
      <alignment horizontal="left" vertical="center" wrapText="1"/>
    </xf>
    <xf numFmtId="0" fontId="273" fillId="0" borderId="20"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193" fillId="0" borderId="34" xfId="0" applyFont="1" applyFill="1" applyBorder="1" applyAlignment="1">
      <alignment horizontal="center" vertical="center"/>
    </xf>
    <xf numFmtId="0" fontId="193" fillId="0" borderId="30" xfId="0" applyFont="1" applyFill="1" applyBorder="1" applyAlignment="1">
      <alignment horizontal="center" vertical="center"/>
    </xf>
    <xf numFmtId="168" fontId="22" fillId="0" borderId="21" xfId="0" applyNumberFormat="1" applyFont="1" applyFill="1" applyBorder="1" applyAlignment="1">
      <alignment horizontal="center" vertical="center" wrapText="1"/>
    </xf>
    <xf numFmtId="168" fontId="22" fillId="0" borderId="20" xfId="0" applyNumberFormat="1" applyFont="1" applyFill="1" applyBorder="1" applyAlignment="1">
      <alignment horizontal="center" vertical="center" wrapText="1"/>
    </xf>
    <xf numFmtId="1" fontId="190" fillId="0" borderId="21" xfId="0" applyNumberFormat="1" applyFont="1" applyFill="1" applyBorder="1" applyAlignment="1">
      <alignment horizontal="center" vertical="center" wrapText="1"/>
    </xf>
    <xf numFmtId="1" fontId="190" fillId="0" borderId="20" xfId="0" applyNumberFormat="1" applyFont="1" applyFill="1" applyBorder="1" applyAlignment="1">
      <alignment horizontal="center" vertical="center" wrapText="1"/>
    </xf>
    <xf numFmtId="1" fontId="190" fillId="0" borderId="19" xfId="0" applyNumberFormat="1" applyFont="1" applyFill="1" applyBorder="1" applyAlignment="1">
      <alignment horizontal="center" vertical="center" wrapText="1"/>
    </xf>
    <xf numFmtId="168" fontId="196" fillId="0" borderId="21" xfId="0" applyNumberFormat="1" applyFont="1" applyFill="1" applyBorder="1" applyAlignment="1">
      <alignment horizontal="center" vertical="center" wrapText="1"/>
    </xf>
    <xf numFmtId="168" fontId="196" fillId="0" borderId="20" xfId="0" applyNumberFormat="1" applyFont="1" applyFill="1" applyBorder="1" applyAlignment="1">
      <alignment horizontal="center" vertical="center" wrapText="1"/>
    </xf>
    <xf numFmtId="168" fontId="196" fillId="0" borderId="19" xfId="0" applyNumberFormat="1" applyFont="1" applyFill="1" applyBorder="1" applyAlignment="1">
      <alignment horizontal="center" vertical="center" wrapText="1"/>
    </xf>
    <xf numFmtId="0" fontId="191" fillId="0" borderId="21" xfId="0" applyFont="1" applyFill="1" applyBorder="1" applyAlignment="1">
      <alignment horizontal="left" vertical="top" wrapText="1"/>
    </xf>
    <xf numFmtId="0" fontId="191" fillId="0" borderId="20" xfId="0" applyFont="1" applyFill="1" applyBorder="1" applyAlignment="1">
      <alignment horizontal="left" vertical="top" wrapText="1"/>
    </xf>
    <xf numFmtId="0" fontId="191" fillId="0" borderId="19" xfId="0" applyFont="1" applyFill="1" applyBorder="1" applyAlignment="1">
      <alignment horizontal="left" vertical="top" wrapText="1"/>
    </xf>
    <xf numFmtId="168" fontId="274" fillId="0" borderId="21" xfId="0" applyNumberFormat="1" applyFont="1" applyFill="1" applyBorder="1" applyAlignment="1">
      <alignment horizontal="center" vertical="center" wrapText="1"/>
    </xf>
    <xf numFmtId="168" fontId="274" fillId="0" borderId="20" xfId="0" applyNumberFormat="1" applyFont="1" applyFill="1" applyBorder="1" applyAlignment="1">
      <alignment horizontal="center" vertical="center" wrapText="1"/>
    </xf>
    <xf numFmtId="1" fontId="193" fillId="0" borderId="21" xfId="0" applyNumberFormat="1" applyFont="1" applyFill="1" applyBorder="1" applyAlignment="1">
      <alignment horizontal="center" vertical="center" wrapText="1"/>
    </xf>
    <xf numFmtId="1" fontId="193" fillId="0" borderId="20" xfId="0" applyNumberFormat="1" applyFont="1" applyFill="1" applyBorder="1" applyAlignment="1">
      <alignment horizontal="center" vertical="center" wrapText="1"/>
    </xf>
    <xf numFmtId="1" fontId="193" fillId="0" borderId="19" xfId="0" applyNumberFormat="1"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9" xfId="0" applyFont="1" applyFill="1" applyBorder="1" applyAlignment="1">
      <alignment horizontal="left" vertical="center" wrapText="1"/>
    </xf>
    <xf numFmtId="43" fontId="186" fillId="0" borderId="31" xfId="69" applyFont="1" applyFill="1" applyBorder="1" applyAlignment="1">
      <alignment horizontal="left" vertical="top" wrapText="1"/>
    </xf>
    <xf numFmtId="43" fontId="186" fillId="0" borderId="56" xfId="69" applyFont="1" applyFill="1" applyBorder="1" applyAlignment="1">
      <alignment horizontal="left" vertical="top" wrapText="1"/>
    </xf>
    <xf numFmtId="168" fontId="193" fillId="0" borderId="21" xfId="0" applyNumberFormat="1" applyFont="1" applyFill="1" applyBorder="1" applyAlignment="1">
      <alignment horizontal="center" vertical="center" wrapText="1"/>
    </xf>
    <xf numFmtId="168" fontId="193" fillId="0" borderId="20" xfId="0" applyNumberFormat="1" applyFont="1" applyFill="1" applyBorder="1" applyAlignment="1">
      <alignment horizontal="center" vertical="center" wrapText="1"/>
    </xf>
    <xf numFmtId="168" fontId="193" fillId="0" borderId="19" xfId="0" applyNumberFormat="1" applyFont="1" applyFill="1" applyBorder="1" applyAlignment="1">
      <alignment horizontal="center" vertical="center" wrapText="1"/>
    </xf>
    <xf numFmtId="171" fontId="186" fillId="0" borderId="21" xfId="0" applyNumberFormat="1" applyFont="1" applyFill="1" applyBorder="1" applyAlignment="1">
      <alignment horizontal="center" vertical="center" wrapText="1"/>
    </xf>
    <xf numFmtId="171" fontId="186" fillId="0" borderId="20" xfId="0" applyNumberFormat="1" applyFont="1" applyFill="1" applyBorder="1" applyAlignment="1">
      <alignment horizontal="center" vertical="center" wrapText="1"/>
    </xf>
    <xf numFmtId="171" fontId="186" fillId="0" borderId="19" xfId="0" applyNumberFormat="1" applyFont="1" applyFill="1" applyBorder="1" applyAlignment="1">
      <alignment horizontal="center" vertical="center" wrapText="1"/>
    </xf>
    <xf numFmtId="0" fontId="192" fillId="0" borderId="31" xfId="0" applyFont="1" applyFill="1" applyBorder="1" applyAlignment="1">
      <alignment horizontal="center" vertical="center"/>
    </xf>
    <xf numFmtId="0" fontId="192" fillId="0" borderId="56" xfId="0" applyFont="1" applyFill="1" applyBorder="1" applyAlignment="1">
      <alignment horizontal="center" vertical="center"/>
    </xf>
    <xf numFmtId="0" fontId="192" fillId="0" borderId="35" xfId="0" applyFont="1" applyFill="1" applyBorder="1" applyAlignment="1">
      <alignment horizontal="center" vertical="center"/>
    </xf>
    <xf numFmtId="0" fontId="192" fillId="0" borderId="32" xfId="0" applyFont="1" applyFill="1" applyBorder="1" applyAlignment="1">
      <alignment horizontal="center" vertical="center"/>
    </xf>
    <xf numFmtId="0" fontId="192" fillId="0" borderId="23" xfId="0" applyFont="1" applyFill="1" applyBorder="1" applyAlignment="1">
      <alignment horizontal="center" vertical="center"/>
    </xf>
    <xf numFmtId="0" fontId="192" fillId="0" borderId="24" xfId="0" applyFont="1" applyFill="1" applyBorder="1" applyAlignment="1">
      <alignment horizontal="center" vertical="center"/>
    </xf>
    <xf numFmtId="168" fontId="200" fillId="0" borderId="21" xfId="0" applyNumberFormat="1" applyFont="1" applyFill="1" applyBorder="1" applyAlignment="1">
      <alignment horizontal="left" vertical="top"/>
    </xf>
    <xf numFmtId="168" fontId="200" fillId="0" borderId="20" xfId="0" applyNumberFormat="1" applyFont="1" applyFill="1" applyBorder="1" applyAlignment="1">
      <alignment horizontal="left" vertical="top"/>
    </xf>
    <xf numFmtId="168" fontId="200" fillId="0" borderId="19" xfId="0" applyNumberFormat="1" applyFont="1" applyFill="1" applyBorder="1" applyAlignment="1">
      <alignment horizontal="left" vertical="top"/>
    </xf>
    <xf numFmtId="0" fontId="188" fillId="0" borderId="21" xfId="0" applyFont="1" applyFill="1" applyBorder="1" applyAlignment="1">
      <alignment horizontal="left" vertical="top" wrapText="1"/>
    </xf>
    <xf numFmtId="0" fontId="188" fillId="0" borderId="20" xfId="0" applyFont="1" applyFill="1" applyBorder="1" applyAlignment="1">
      <alignment horizontal="left" vertical="top" wrapText="1"/>
    </xf>
    <xf numFmtId="0" fontId="188" fillId="0" borderId="19" xfId="0" applyFont="1" applyFill="1" applyBorder="1" applyAlignment="1">
      <alignment horizontal="left" vertical="top" wrapText="1"/>
    </xf>
    <xf numFmtId="43" fontId="227" fillId="0" borderId="21" xfId="69" applyNumberFormat="1" applyFont="1" applyFill="1" applyBorder="1" applyAlignment="1">
      <alignment horizontal="center" vertical="center"/>
    </xf>
    <xf numFmtId="43" fontId="227" fillId="0" borderId="19" xfId="69" applyNumberFormat="1" applyFont="1" applyFill="1" applyBorder="1" applyAlignment="1">
      <alignment horizontal="center" vertical="center"/>
    </xf>
    <xf numFmtId="0" fontId="186" fillId="0" borderId="0" xfId="0" applyFont="1" applyFill="1" applyBorder="1" applyAlignment="1">
      <alignment horizontal="left" vertical="top" wrapText="1"/>
    </xf>
    <xf numFmtId="0" fontId="193" fillId="0" borderId="31" xfId="0" applyFont="1" applyFill="1" applyBorder="1" applyAlignment="1">
      <alignment horizontal="center" vertical="center"/>
    </xf>
    <xf numFmtId="0" fontId="193" fillId="0" borderId="56" xfId="0" applyFont="1" applyFill="1" applyBorder="1" applyAlignment="1">
      <alignment horizontal="center" vertical="center"/>
    </xf>
    <xf numFmtId="0" fontId="193" fillId="0" borderId="35" xfId="0" applyFont="1" applyFill="1" applyBorder="1" applyAlignment="1">
      <alignment horizontal="center" vertical="center"/>
    </xf>
    <xf numFmtId="0" fontId="193" fillId="0" borderId="32" xfId="0" applyFont="1" applyFill="1" applyBorder="1" applyAlignment="1">
      <alignment horizontal="center" vertical="center"/>
    </xf>
    <xf numFmtId="0" fontId="193" fillId="0" borderId="23" xfId="0" applyFont="1" applyFill="1" applyBorder="1" applyAlignment="1">
      <alignment horizontal="center" vertical="center"/>
    </xf>
    <xf numFmtId="0" fontId="193" fillId="0" borderId="24" xfId="0" applyFont="1" applyFill="1" applyBorder="1" applyAlignment="1">
      <alignment horizontal="center" vertical="center"/>
    </xf>
    <xf numFmtId="0" fontId="192" fillId="0" borderId="21" xfId="0" applyFont="1" applyFill="1" applyBorder="1" applyAlignment="1">
      <alignment horizontal="center" vertical="top" wrapText="1"/>
    </xf>
    <xf numFmtId="0" fontId="192" fillId="0" borderId="20" xfId="0" applyFont="1" applyFill="1" applyBorder="1" applyAlignment="1">
      <alignment horizontal="center" vertical="top" wrapText="1"/>
    </xf>
    <xf numFmtId="0" fontId="192" fillId="0" borderId="19" xfId="0" applyFont="1" applyFill="1" applyBorder="1" applyAlignment="1">
      <alignment horizontal="center" vertical="top" wrapText="1"/>
    </xf>
    <xf numFmtId="41" fontId="186" fillId="0" borderId="21" xfId="0" applyNumberFormat="1" applyFont="1" applyFill="1" applyBorder="1" applyAlignment="1">
      <alignment horizontal="center" vertical="center" wrapText="1"/>
    </xf>
    <xf numFmtId="41" fontId="186" fillId="0" borderId="20" xfId="0" applyNumberFormat="1" applyFont="1" applyFill="1" applyBorder="1" applyAlignment="1">
      <alignment horizontal="center" vertical="center" wrapText="1"/>
    </xf>
    <xf numFmtId="41" fontId="186" fillId="0" borderId="19" xfId="0" applyNumberFormat="1" applyFont="1" applyFill="1" applyBorder="1" applyAlignment="1">
      <alignment horizontal="center" vertical="center" wrapText="1"/>
    </xf>
    <xf numFmtId="171" fontId="196" fillId="0" borderId="21" xfId="70" applyNumberFormat="1" applyFont="1" applyFill="1" applyBorder="1" applyAlignment="1">
      <alignment horizontal="right" vertical="center" wrapText="1"/>
    </xf>
    <xf numFmtId="171" fontId="196" fillId="0" borderId="20" xfId="70" applyNumberFormat="1" applyFont="1" applyFill="1" applyBorder="1" applyAlignment="1">
      <alignment horizontal="right" vertical="center" wrapText="1"/>
    </xf>
    <xf numFmtId="171" fontId="196" fillId="0" borderId="19" xfId="70" applyNumberFormat="1" applyFont="1" applyFill="1" applyBorder="1" applyAlignment="1">
      <alignment horizontal="right" vertical="center" wrapText="1"/>
    </xf>
    <xf numFmtId="174" fontId="21" fillId="0" borderId="21" xfId="70" applyNumberFormat="1" applyFont="1" applyFill="1" applyBorder="1" applyAlignment="1">
      <alignment horizontal="center" vertical="top" wrapText="1"/>
    </xf>
    <xf numFmtId="174" fontId="21" fillId="0" borderId="19" xfId="70" applyNumberFormat="1" applyFont="1" applyFill="1" applyBorder="1" applyAlignment="1">
      <alignment horizontal="center" vertical="top" wrapText="1"/>
    </xf>
    <xf numFmtId="0" fontId="192" fillId="0" borderId="22" xfId="0" applyFont="1" applyFill="1" applyBorder="1" applyAlignment="1">
      <alignment horizontal="center" vertical="center" wrapText="1"/>
    </xf>
    <xf numFmtId="0" fontId="192" fillId="0" borderId="21" xfId="0" applyFont="1" applyFill="1" applyBorder="1" applyAlignment="1">
      <alignment horizontal="center" vertical="center" wrapText="1"/>
    </xf>
    <xf numFmtId="0" fontId="192" fillId="0" borderId="20" xfId="0" applyFont="1" applyFill="1" applyBorder="1" applyAlignment="1">
      <alignment horizontal="center" vertical="center" wrapText="1"/>
    </xf>
    <xf numFmtId="0" fontId="192" fillId="0" borderId="19" xfId="0" applyFont="1" applyFill="1" applyBorder="1" applyAlignment="1">
      <alignment horizontal="center" vertical="center" wrapText="1"/>
    </xf>
    <xf numFmtId="41" fontId="188" fillId="0" borderId="21" xfId="0" applyNumberFormat="1" applyFont="1" applyFill="1" applyBorder="1" applyAlignment="1">
      <alignment horizontal="center" vertical="center" wrapText="1"/>
    </xf>
    <xf numFmtId="41" fontId="188" fillId="0" borderId="20" xfId="0" applyNumberFormat="1" applyFont="1" applyFill="1" applyBorder="1" applyAlignment="1">
      <alignment horizontal="center" vertical="center" wrapText="1"/>
    </xf>
    <xf numFmtId="41" fontId="188" fillId="0" borderId="19" xfId="0" applyNumberFormat="1" applyFont="1" applyFill="1" applyBorder="1" applyAlignment="1">
      <alignment horizontal="center" vertical="center" wrapText="1"/>
    </xf>
    <xf numFmtId="171" fontId="188" fillId="0" borderId="21" xfId="0" applyNumberFormat="1" applyFont="1" applyFill="1" applyBorder="1" applyAlignment="1">
      <alignment horizontal="center" vertical="center" wrapText="1"/>
    </xf>
    <xf numFmtId="171" fontId="188" fillId="0" borderId="20" xfId="0" applyNumberFormat="1" applyFont="1" applyFill="1" applyBorder="1" applyAlignment="1">
      <alignment horizontal="center" vertical="center" wrapText="1"/>
    </xf>
    <xf numFmtId="171" fontId="188" fillId="0" borderId="19" xfId="0" applyNumberFormat="1" applyFont="1" applyFill="1" applyBorder="1" applyAlignment="1">
      <alignment horizontal="center" vertical="center" wrapText="1"/>
    </xf>
    <xf numFmtId="0" fontId="190" fillId="0" borderId="31" xfId="0" applyFont="1" applyFill="1" applyBorder="1" applyAlignment="1">
      <alignment horizontal="center" vertical="center" wrapText="1"/>
    </xf>
    <xf numFmtId="0" fontId="190" fillId="0" borderId="56" xfId="0" applyFont="1" applyFill="1" applyBorder="1" applyAlignment="1">
      <alignment horizontal="center" vertical="center" wrapText="1"/>
    </xf>
    <xf numFmtId="0" fontId="190" fillId="0" borderId="35" xfId="0" applyFont="1" applyFill="1" applyBorder="1" applyAlignment="1">
      <alignment horizontal="center" vertical="center" wrapText="1"/>
    </xf>
    <xf numFmtId="0" fontId="190" fillId="0" borderId="32" xfId="0" applyFont="1" applyFill="1" applyBorder="1" applyAlignment="1">
      <alignment horizontal="center" vertical="center" wrapText="1"/>
    </xf>
    <xf numFmtId="0" fontId="190" fillId="0" borderId="23" xfId="0" applyFont="1" applyFill="1" applyBorder="1" applyAlignment="1">
      <alignment horizontal="center" vertical="center" wrapText="1"/>
    </xf>
    <xf numFmtId="0" fontId="190" fillId="0" borderId="24" xfId="0" applyFont="1" applyFill="1" applyBorder="1" applyAlignment="1">
      <alignment horizontal="center" vertical="center" wrapText="1"/>
    </xf>
    <xf numFmtId="41" fontId="192" fillId="0" borderId="21" xfId="0" applyNumberFormat="1" applyFont="1" applyFill="1" applyBorder="1" applyAlignment="1">
      <alignment horizontal="center" vertical="center" wrapText="1"/>
    </xf>
    <xf numFmtId="41" fontId="192" fillId="0" borderId="20" xfId="0" applyNumberFormat="1" applyFont="1" applyFill="1" applyBorder="1" applyAlignment="1">
      <alignment horizontal="center" vertical="center" wrapText="1"/>
    </xf>
    <xf numFmtId="41" fontId="192" fillId="0" borderId="19" xfId="0" applyNumberFormat="1" applyFont="1" applyFill="1" applyBorder="1" applyAlignment="1">
      <alignment horizontal="center" vertical="center" wrapText="1"/>
    </xf>
    <xf numFmtId="0" fontId="192" fillId="0" borderId="31" xfId="0" applyFont="1" applyFill="1" applyBorder="1" applyAlignment="1" quotePrefix="1">
      <alignment horizontal="center" vertical="center" wrapText="1"/>
    </xf>
    <xf numFmtId="0" fontId="192" fillId="0" borderId="35" xfId="0" applyFont="1" applyFill="1" applyBorder="1" applyAlignment="1" quotePrefix="1">
      <alignment horizontal="center" vertical="center" wrapText="1"/>
    </xf>
    <xf numFmtId="0" fontId="192" fillId="0" borderId="32" xfId="0" applyFont="1" applyFill="1" applyBorder="1" applyAlignment="1" quotePrefix="1">
      <alignment horizontal="center" vertical="center" wrapText="1"/>
    </xf>
    <xf numFmtId="0" fontId="192" fillId="0" borderId="24" xfId="0" applyFont="1" applyFill="1" applyBorder="1" applyAlignment="1" quotePrefix="1">
      <alignment horizontal="center" vertical="center" wrapText="1"/>
    </xf>
    <xf numFmtId="1" fontId="192" fillId="0" borderId="21" xfId="0" applyNumberFormat="1" applyFont="1" applyFill="1" applyBorder="1" applyAlignment="1">
      <alignment horizontal="center" vertical="center" wrapText="1"/>
    </xf>
    <xf numFmtId="1" fontId="192" fillId="0" borderId="20" xfId="0" applyNumberFormat="1" applyFont="1" applyFill="1" applyBorder="1" applyAlignment="1">
      <alignment horizontal="center" vertical="center" wrapText="1"/>
    </xf>
    <xf numFmtId="1" fontId="192" fillId="0" borderId="19" xfId="0" applyNumberFormat="1" applyFont="1" applyFill="1" applyBorder="1" applyAlignment="1">
      <alignment horizontal="center" vertical="center" wrapText="1"/>
    </xf>
    <xf numFmtId="171" fontId="270" fillId="0" borderId="21" xfId="70" applyNumberFormat="1" applyFont="1" applyFill="1" applyBorder="1" applyAlignment="1">
      <alignment horizontal="left" vertical="center" wrapText="1"/>
    </xf>
    <xf numFmtId="171" fontId="270" fillId="0" borderId="19" xfId="70" applyNumberFormat="1" applyFont="1" applyFill="1" applyBorder="1" applyAlignment="1">
      <alignment horizontal="left" vertical="center" wrapText="1"/>
    </xf>
    <xf numFmtId="0" fontId="190" fillId="0" borderId="0" xfId="0" applyNumberFormat="1" applyFont="1" applyFill="1" applyAlignment="1">
      <alignment horizontal="justify" vertical="center" wrapText="1"/>
    </xf>
    <xf numFmtId="0" fontId="273" fillId="0" borderId="21" xfId="0" applyFont="1" applyFill="1" applyBorder="1" applyAlignment="1">
      <alignment horizontal="left" vertical="top" wrapText="1"/>
    </xf>
    <xf numFmtId="0" fontId="273" fillId="0" borderId="20" xfId="0" applyFont="1" applyFill="1" applyBorder="1" applyAlignment="1">
      <alignment horizontal="left" vertical="top" wrapText="1"/>
    </xf>
    <xf numFmtId="0" fontId="273" fillId="0" borderId="19" xfId="0" applyFont="1" applyFill="1" applyBorder="1" applyAlignment="1">
      <alignment horizontal="left" vertical="top" wrapText="1"/>
    </xf>
    <xf numFmtId="171" fontId="189" fillId="0" borderId="21" xfId="70" applyNumberFormat="1" applyFont="1" applyFill="1" applyBorder="1" applyAlignment="1">
      <alignment horizontal="left" vertical="center" wrapText="1"/>
    </xf>
    <xf numFmtId="171" fontId="189" fillId="0" borderId="19" xfId="70" applyNumberFormat="1" applyFont="1" applyFill="1" applyBorder="1" applyAlignment="1">
      <alignment horizontal="left" vertical="center" wrapText="1"/>
    </xf>
    <xf numFmtId="171" fontId="192" fillId="0" borderId="21" xfId="0" applyNumberFormat="1" applyFont="1" applyFill="1" applyBorder="1" applyAlignment="1">
      <alignment horizontal="center" vertical="center" wrapText="1"/>
    </xf>
    <xf numFmtId="171" fontId="192" fillId="0" borderId="20" xfId="0" applyNumberFormat="1" applyFont="1" applyFill="1" applyBorder="1" applyAlignment="1">
      <alignment horizontal="center" vertical="center" wrapText="1"/>
    </xf>
    <xf numFmtId="171" fontId="192" fillId="0" borderId="19" xfId="0" applyNumberFormat="1" applyFont="1" applyFill="1" applyBorder="1" applyAlignment="1">
      <alignment horizontal="center" vertical="center" wrapText="1"/>
    </xf>
    <xf numFmtId="171" fontId="188" fillId="0" borderId="21" xfId="0" applyNumberFormat="1" applyFont="1" applyFill="1" applyBorder="1" applyAlignment="1">
      <alignment horizontal="right" vertical="top" wrapText="1"/>
    </xf>
    <xf numFmtId="171" fontId="188" fillId="0" borderId="20" xfId="0" applyNumberFormat="1" applyFont="1" applyFill="1" applyBorder="1" applyAlignment="1">
      <alignment horizontal="right" vertical="top" wrapText="1"/>
    </xf>
    <xf numFmtId="171" fontId="188" fillId="0" borderId="19" xfId="0" applyNumberFormat="1" applyFont="1" applyFill="1" applyBorder="1" applyAlignment="1">
      <alignment horizontal="right" vertical="top" wrapText="1"/>
    </xf>
    <xf numFmtId="171" fontId="272" fillId="0" borderId="21" xfId="0" applyNumberFormat="1" applyFont="1" applyFill="1" applyBorder="1" applyAlignment="1">
      <alignment horizontal="center" vertical="center" wrapText="1"/>
    </xf>
    <xf numFmtId="171" fontId="272" fillId="0" borderId="20" xfId="0" applyNumberFormat="1" applyFont="1" applyFill="1" applyBorder="1" applyAlignment="1">
      <alignment horizontal="center" vertical="center" wrapText="1"/>
    </xf>
    <xf numFmtId="171" fontId="272" fillId="0" borderId="19" xfId="0" applyNumberFormat="1" applyFont="1" applyFill="1" applyBorder="1" applyAlignment="1">
      <alignment horizontal="center" vertical="center" wrapText="1"/>
    </xf>
    <xf numFmtId="171" fontId="193" fillId="0" borderId="21" xfId="0" applyNumberFormat="1" applyFont="1" applyFill="1" applyBorder="1" applyAlignment="1">
      <alignment horizontal="center" vertical="center" wrapText="1"/>
    </xf>
    <xf numFmtId="171" fontId="193" fillId="0" borderId="20" xfId="0" applyNumberFormat="1" applyFont="1" applyFill="1" applyBorder="1" applyAlignment="1">
      <alignment horizontal="center" vertical="center" wrapText="1"/>
    </xf>
    <xf numFmtId="171" fontId="193" fillId="0" borderId="19" xfId="0" applyNumberFormat="1" applyFont="1" applyFill="1" applyBorder="1" applyAlignment="1">
      <alignment horizontal="center" vertical="center" wrapText="1"/>
    </xf>
    <xf numFmtId="0" fontId="193" fillId="0" borderId="21" xfId="0" applyFont="1" applyFill="1" applyBorder="1" applyAlignment="1">
      <alignment horizontal="center" vertical="center"/>
    </xf>
    <xf numFmtId="0" fontId="193" fillId="0" borderId="20" xfId="0" applyFont="1" applyFill="1" applyBorder="1" applyAlignment="1">
      <alignment horizontal="center" vertical="center"/>
    </xf>
    <xf numFmtId="0" fontId="193" fillId="0" borderId="19" xfId="0" applyFont="1" applyFill="1" applyBorder="1" applyAlignment="1">
      <alignment horizontal="center" vertical="center"/>
    </xf>
    <xf numFmtId="0" fontId="188" fillId="0" borderId="21" xfId="0" applyFont="1" applyFill="1" applyBorder="1" applyAlignment="1">
      <alignment horizontal="left" vertical="center" wrapText="1"/>
    </xf>
    <xf numFmtId="0" fontId="188" fillId="0" borderId="20" xfId="0" applyFont="1" applyFill="1" applyBorder="1" applyAlignment="1">
      <alignment horizontal="left" vertical="center" wrapText="1"/>
    </xf>
    <xf numFmtId="0" fontId="188" fillId="0" borderId="19" xfId="0" applyFont="1" applyFill="1" applyBorder="1" applyAlignment="1">
      <alignment horizontal="left" vertical="center" wrapText="1"/>
    </xf>
    <xf numFmtId="171" fontId="188" fillId="0" borderId="21" xfId="70" applyNumberFormat="1" applyFont="1" applyFill="1" applyBorder="1" applyAlignment="1">
      <alignment horizontal="center" vertical="top" wrapText="1"/>
    </xf>
    <xf numFmtId="171" fontId="188" fillId="0" borderId="20" xfId="70" applyNumberFormat="1" applyFont="1" applyFill="1" applyBorder="1" applyAlignment="1">
      <alignment horizontal="center" vertical="top" wrapText="1"/>
    </xf>
    <xf numFmtId="171" fontId="188" fillId="0" borderId="19" xfId="70" applyNumberFormat="1" applyFont="1" applyFill="1" applyBorder="1" applyAlignment="1">
      <alignment horizontal="center" vertical="top" wrapText="1"/>
    </xf>
    <xf numFmtId="171" fontId="196" fillId="0" borderId="21" xfId="70" applyNumberFormat="1" applyFont="1" applyFill="1" applyBorder="1" applyAlignment="1">
      <alignment horizontal="center" vertical="top" wrapText="1"/>
    </xf>
    <xf numFmtId="171" fontId="196" fillId="0" borderId="20" xfId="70" applyNumberFormat="1" applyFont="1" applyFill="1" applyBorder="1" applyAlignment="1">
      <alignment horizontal="center" vertical="top" wrapText="1"/>
    </xf>
    <xf numFmtId="171" fontId="196" fillId="0" borderId="19" xfId="70" applyNumberFormat="1" applyFont="1" applyFill="1" applyBorder="1" applyAlignment="1">
      <alignment horizontal="center" vertical="top" wrapText="1"/>
    </xf>
    <xf numFmtId="43" fontId="227" fillId="0" borderId="22" xfId="69" applyFont="1" applyFill="1" applyBorder="1" applyAlignment="1">
      <alignment horizontal="center" vertical="center"/>
    </xf>
    <xf numFmtId="171" fontId="230" fillId="0" borderId="22" xfId="70" applyNumberFormat="1" applyFont="1" applyFill="1" applyBorder="1" applyAlignment="1">
      <alignment horizontal="center"/>
    </xf>
    <xf numFmtId="171" fontId="188" fillId="0" borderId="21" xfId="70" applyNumberFormat="1" applyFont="1" applyFill="1" applyBorder="1" applyAlignment="1">
      <alignment horizontal="center" vertical="center" wrapText="1"/>
    </xf>
    <xf numFmtId="171" fontId="188" fillId="0" borderId="20" xfId="70" applyNumberFormat="1" applyFont="1" applyFill="1" applyBorder="1" applyAlignment="1">
      <alignment horizontal="center" vertical="center" wrapText="1"/>
    </xf>
    <xf numFmtId="171" fontId="188" fillId="0" borderId="19" xfId="70" applyNumberFormat="1" applyFont="1" applyFill="1" applyBorder="1" applyAlignment="1">
      <alignment horizontal="center" vertical="center" wrapText="1"/>
    </xf>
    <xf numFmtId="171" fontId="188" fillId="0" borderId="21" xfId="70" applyNumberFormat="1" applyFont="1" applyFill="1" applyBorder="1" applyAlignment="1">
      <alignment horizontal="center" vertical="center"/>
    </xf>
    <xf numFmtId="171" fontId="188" fillId="0" borderId="20" xfId="70" applyNumberFormat="1" applyFont="1" applyFill="1" applyBorder="1" applyAlignment="1">
      <alignment horizontal="center" vertical="center"/>
    </xf>
    <xf numFmtId="171" fontId="188" fillId="0" borderId="19" xfId="70" applyNumberFormat="1" applyFont="1" applyFill="1" applyBorder="1" applyAlignment="1">
      <alignment horizontal="center" vertical="center"/>
    </xf>
    <xf numFmtId="43" fontId="275" fillId="0" borderId="22" xfId="69" applyFont="1" applyFill="1" applyBorder="1" applyAlignment="1">
      <alignment horizontal="center" vertical="center"/>
    </xf>
    <xf numFmtId="171" fontId="191" fillId="0" borderId="21" xfId="70" applyNumberFormat="1" applyFont="1" applyFill="1" applyBorder="1" applyAlignment="1">
      <alignment horizontal="center" vertical="top"/>
    </xf>
    <xf numFmtId="171" fontId="191" fillId="0" borderId="20" xfId="70" applyNumberFormat="1" applyFont="1" applyFill="1" applyBorder="1" applyAlignment="1">
      <alignment horizontal="center" vertical="top"/>
    </xf>
    <xf numFmtId="171" fontId="191" fillId="0" borderId="19" xfId="70" applyNumberFormat="1" applyFont="1" applyFill="1" applyBorder="1" applyAlignment="1">
      <alignment horizontal="center" vertical="top"/>
    </xf>
    <xf numFmtId="0" fontId="186" fillId="0" borderId="21" xfId="0" applyFont="1" applyFill="1" applyBorder="1" applyAlignment="1">
      <alignment horizontal="center" vertical="center"/>
    </xf>
    <xf numFmtId="0" fontId="186" fillId="0" borderId="20" xfId="0" applyFont="1" applyFill="1" applyBorder="1" applyAlignment="1">
      <alignment horizontal="center" vertical="center"/>
    </xf>
    <xf numFmtId="0" fontId="186" fillId="0" borderId="19" xfId="0" applyFont="1" applyFill="1" applyBorder="1" applyAlignment="1">
      <alignment horizontal="center" vertical="center"/>
    </xf>
    <xf numFmtId="171" fontId="232" fillId="0" borderId="21" xfId="70" applyNumberFormat="1" applyFont="1" applyFill="1" applyBorder="1" applyAlignment="1">
      <alignment horizontal="center"/>
    </xf>
    <xf numFmtId="171" fontId="232" fillId="0" borderId="20" xfId="70" applyNumberFormat="1" applyFont="1" applyFill="1" applyBorder="1" applyAlignment="1">
      <alignment horizontal="center"/>
    </xf>
    <xf numFmtId="171" fontId="232" fillId="0" borderId="19" xfId="70" applyNumberFormat="1" applyFont="1" applyFill="1" applyBorder="1" applyAlignment="1">
      <alignment horizontal="center"/>
    </xf>
    <xf numFmtId="0" fontId="265" fillId="0" borderId="22" xfId="0" applyFont="1" applyFill="1" applyBorder="1" applyAlignment="1">
      <alignment horizontal="center" vertical="center" wrapText="1"/>
    </xf>
    <xf numFmtId="171" fontId="186" fillId="0" borderId="21" xfId="70" applyNumberFormat="1" applyFont="1" applyFill="1" applyBorder="1" applyAlignment="1">
      <alignment horizontal="center" vertical="center"/>
    </xf>
    <xf numFmtId="171" fontId="186" fillId="0" borderId="20" xfId="70" applyNumberFormat="1" applyFont="1" applyFill="1" applyBorder="1" applyAlignment="1">
      <alignment horizontal="center" vertical="center"/>
    </xf>
    <xf numFmtId="171" fontId="186" fillId="0" borderId="19" xfId="70" applyNumberFormat="1" applyFont="1" applyFill="1" applyBorder="1" applyAlignment="1">
      <alignment horizontal="center" vertical="center"/>
    </xf>
    <xf numFmtId="0" fontId="190" fillId="0" borderId="22" xfId="0" applyFont="1" applyFill="1" applyBorder="1" applyAlignment="1">
      <alignment horizontal="center" vertical="center" wrapText="1"/>
    </xf>
    <xf numFmtId="171" fontId="188" fillId="0" borderId="21" xfId="70" applyNumberFormat="1" applyFont="1" applyFill="1" applyBorder="1" applyAlignment="1">
      <alignment horizontal="center" vertical="top"/>
    </xf>
    <xf numFmtId="171" fontId="188" fillId="0" borderId="20" xfId="70" applyNumberFormat="1" applyFont="1" applyFill="1" applyBorder="1" applyAlignment="1">
      <alignment horizontal="center" vertical="top"/>
    </xf>
    <xf numFmtId="171" fontId="200" fillId="0" borderId="21" xfId="70" applyNumberFormat="1" applyFont="1" applyFill="1" applyBorder="1" applyAlignment="1">
      <alignment horizontal="center"/>
    </xf>
    <xf numFmtId="171" fontId="200" fillId="0" borderId="20" xfId="70" applyNumberFormat="1" applyFont="1" applyFill="1" applyBorder="1" applyAlignment="1">
      <alignment horizontal="center"/>
    </xf>
    <xf numFmtId="171" fontId="200" fillId="0" borderId="19" xfId="70" applyNumberFormat="1" applyFont="1" applyFill="1" applyBorder="1" applyAlignment="1">
      <alignment horizontal="center"/>
    </xf>
    <xf numFmtId="171" fontId="189" fillId="0" borderId="21" xfId="0" applyNumberFormat="1" applyFont="1" applyFill="1" applyBorder="1" applyAlignment="1">
      <alignment horizontal="center" vertical="center" wrapText="1"/>
    </xf>
    <xf numFmtId="171" fontId="189" fillId="0" borderId="20" xfId="0" applyNumberFormat="1" applyFont="1" applyFill="1" applyBorder="1" applyAlignment="1">
      <alignment horizontal="center" vertical="center" wrapText="1"/>
    </xf>
    <xf numFmtId="171" fontId="189" fillId="0" borderId="19" xfId="0" applyNumberFormat="1" applyFont="1" applyFill="1" applyBorder="1" applyAlignment="1">
      <alignment horizontal="center" vertical="center" wrapText="1"/>
    </xf>
    <xf numFmtId="0" fontId="192" fillId="0" borderId="31" xfId="0" applyFont="1" applyFill="1" applyBorder="1" applyAlignment="1">
      <alignment horizontal="center" vertical="center" wrapText="1"/>
    </xf>
    <xf numFmtId="0" fontId="192" fillId="0" borderId="35" xfId="0" applyFont="1" applyFill="1" applyBorder="1" applyAlignment="1">
      <alignment horizontal="center" vertical="center" wrapText="1"/>
    </xf>
    <xf numFmtId="0" fontId="192" fillId="0" borderId="32" xfId="0" applyFont="1" applyFill="1" applyBorder="1" applyAlignment="1">
      <alignment horizontal="center" vertical="center" wrapText="1"/>
    </xf>
    <xf numFmtId="0" fontId="192" fillId="0" borderId="24" xfId="0" applyFont="1" applyFill="1" applyBorder="1" applyAlignment="1">
      <alignment horizontal="center" vertical="center" wrapText="1"/>
    </xf>
    <xf numFmtId="0" fontId="25" fillId="0" borderId="0" xfId="0" applyFont="1" applyFill="1" applyBorder="1" applyAlignment="1">
      <alignment horizontal="justify" vertical="top" wrapText="1"/>
    </xf>
    <xf numFmtId="168" fontId="230" fillId="0" borderId="21" xfId="0" applyNumberFormat="1" applyFont="1" applyFill="1" applyBorder="1" applyAlignment="1">
      <alignment horizontal="center" vertical="center" wrapText="1"/>
    </xf>
    <xf numFmtId="168" fontId="230" fillId="0" borderId="20" xfId="0" applyNumberFormat="1" applyFont="1" applyFill="1" applyBorder="1" applyAlignment="1">
      <alignment horizontal="center" vertical="center" wrapText="1"/>
    </xf>
    <xf numFmtId="0" fontId="232" fillId="0" borderId="22" xfId="0" applyFont="1" applyFill="1" applyBorder="1" applyAlignment="1">
      <alignment horizontal="left" vertical="top" wrapText="1"/>
    </xf>
    <xf numFmtId="41" fontId="188" fillId="0" borderId="0" xfId="0" applyNumberFormat="1" applyFont="1" applyFill="1" applyBorder="1" applyAlignment="1">
      <alignment horizontal="center" vertical="center" wrapText="1"/>
    </xf>
    <xf numFmtId="174" fontId="276" fillId="0" borderId="21" xfId="70" applyNumberFormat="1" applyFont="1" applyFill="1" applyBorder="1" applyAlignment="1">
      <alignment horizontal="center" vertical="center" wrapText="1"/>
    </xf>
    <xf numFmtId="174" fontId="276" fillId="0" borderId="19" xfId="70" applyNumberFormat="1" applyFont="1" applyFill="1" applyBorder="1" applyAlignment="1">
      <alignment horizontal="center" vertical="center" wrapText="1"/>
    </xf>
    <xf numFmtId="0" fontId="200" fillId="0" borderId="21" xfId="0" applyFont="1" applyFill="1" applyBorder="1" applyAlignment="1">
      <alignment horizontal="left" vertical="center" wrapText="1"/>
    </xf>
    <xf numFmtId="0" fontId="23" fillId="0" borderId="21" xfId="0" applyFont="1" applyFill="1" applyBorder="1" applyAlignment="1" quotePrefix="1">
      <alignment horizontal="center" vertical="center" wrapText="1"/>
    </xf>
    <xf numFmtId="0" fontId="23" fillId="0" borderId="19" xfId="0" applyFont="1" applyFill="1" applyBorder="1" applyAlignment="1">
      <alignment horizontal="center" vertical="center" wrapText="1"/>
    </xf>
    <xf numFmtId="168" fontId="22" fillId="0" borderId="22" xfId="0" applyNumberFormat="1"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96" fillId="0" borderId="20" xfId="0" applyFont="1" applyFill="1" applyBorder="1" applyAlignment="1">
      <alignment horizontal="center" vertical="center" wrapText="1"/>
    </xf>
    <xf numFmtId="0" fontId="196" fillId="0" borderId="19" xfId="0" applyFont="1" applyFill="1" applyBorder="1" applyAlignment="1">
      <alignment horizontal="center" vertical="center" wrapText="1"/>
    </xf>
    <xf numFmtId="41" fontId="22" fillId="0" borderId="21" xfId="70" applyNumberFormat="1" applyFont="1" applyFill="1" applyBorder="1" applyAlignment="1">
      <alignment horizontal="center" vertical="center" wrapText="1"/>
    </xf>
    <xf numFmtId="41" fontId="22" fillId="0" borderId="19" xfId="70" applyNumberFormat="1" applyFont="1" applyFill="1" applyBorder="1" applyAlignment="1">
      <alignment horizontal="center" vertical="center" wrapText="1"/>
    </xf>
    <xf numFmtId="168" fontId="230" fillId="0" borderId="19" xfId="0" applyNumberFormat="1" applyFont="1" applyFill="1" applyBorder="1" applyAlignment="1">
      <alignment horizontal="center" vertical="center" wrapText="1"/>
    </xf>
    <xf numFmtId="0" fontId="28" fillId="0" borderId="21" xfId="0" applyFont="1" applyFill="1" applyBorder="1" applyAlignment="1" quotePrefix="1">
      <alignment horizontal="center" vertical="center" wrapText="1"/>
    </xf>
    <xf numFmtId="0" fontId="28" fillId="0" borderId="19" xfId="0" applyFont="1" applyFill="1" applyBorder="1" applyAlignment="1">
      <alignment horizontal="center" vertical="center" wrapText="1"/>
    </xf>
    <xf numFmtId="0" fontId="273" fillId="0" borderId="22" xfId="0" applyFont="1" applyFill="1" applyBorder="1" applyAlignment="1">
      <alignment horizontal="left" vertical="top" wrapText="1"/>
    </xf>
    <xf numFmtId="168" fontId="196" fillId="0" borderId="22" xfId="0" applyNumberFormat="1" applyFont="1" applyFill="1" applyBorder="1" applyAlignment="1">
      <alignment horizontal="center" vertical="center" wrapText="1"/>
    </xf>
    <xf numFmtId="0" fontId="196" fillId="0" borderId="22" xfId="0" applyFont="1" applyFill="1" applyBorder="1" applyAlignment="1">
      <alignment horizontal="center" vertical="center" wrapText="1"/>
    </xf>
    <xf numFmtId="0" fontId="200" fillId="0" borderId="20" xfId="0" applyFont="1" applyFill="1" applyBorder="1" applyAlignment="1">
      <alignment horizontal="center" vertical="center" wrapText="1"/>
    </xf>
    <xf numFmtId="0" fontId="200" fillId="0" borderId="19" xfId="0" applyFont="1" applyFill="1" applyBorder="1" applyAlignment="1">
      <alignment horizontal="center" vertical="center" wrapText="1"/>
    </xf>
    <xf numFmtId="0" fontId="191" fillId="0" borderId="23" xfId="0" applyFont="1" applyFill="1" applyBorder="1" applyAlignment="1">
      <alignment vertical="center" wrapText="1"/>
    </xf>
    <xf numFmtId="0" fontId="186" fillId="0" borderId="0" xfId="0" applyFont="1" applyFill="1" applyBorder="1" applyAlignment="1">
      <alignment horizontal="left" vertical="center" wrapText="1"/>
    </xf>
    <xf numFmtId="174" fontId="47" fillId="0" borderId="21" xfId="70" applyNumberFormat="1" applyFont="1" applyFill="1" applyBorder="1" applyAlignment="1">
      <alignment horizontal="center" vertical="center" wrapText="1"/>
    </xf>
    <xf numFmtId="174" fontId="47" fillId="0" borderId="19" xfId="70" applyNumberFormat="1" applyFont="1" applyFill="1" applyBorder="1" applyAlignment="1">
      <alignment horizontal="center" vertical="center" wrapText="1"/>
    </xf>
    <xf numFmtId="0" fontId="273" fillId="0" borderId="22"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5" fillId="0" borderId="0" xfId="0" applyFont="1" applyFill="1" applyBorder="1" applyAlignment="1">
      <alignment horizontal="left" vertical="top"/>
    </xf>
    <xf numFmtId="43" fontId="188" fillId="0" borderId="21" xfId="69" applyFont="1" applyFill="1" applyBorder="1" applyAlignment="1">
      <alignment horizontal="center" vertical="center" wrapText="1"/>
    </xf>
    <xf numFmtId="43" fontId="188" fillId="0" borderId="20" xfId="69" applyFont="1" applyFill="1" applyBorder="1" applyAlignment="1">
      <alignment horizontal="center" vertical="center" wrapText="1"/>
    </xf>
    <xf numFmtId="43" fontId="188" fillId="0" borderId="19" xfId="69" applyFont="1" applyFill="1" applyBorder="1" applyAlignment="1">
      <alignment horizontal="center" vertical="center" wrapText="1"/>
    </xf>
    <xf numFmtId="0" fontId="190" fillId="0" borderId="0" xfId="0" applyFont="1" applyFill="1" applyBorder="1" applyAlignment="1">
      <alignment horizontal="center" vertical="top"/>
    </xf>
    <xf numFmtId="0" fontId="190" fillId="0" borderId="23" xfId="0" applyFont="1" applyFill="1" applyBorder="1" applyAlignment="1">
      <alignment horizontal="center" vertical="top"/>
    </xf>
    <xf numFmtId="171" fontId="227" fillId="0" borderId="22" xfId="70" applyNumberFormat="1" applyFont="1" applyFill="1" applyBorder="1" applyAlignment="1">
      <alignment horizontal="center"/>
    </xf>
    <xf numFmtId="0" fontId="190" fillId="0" borderId="31" xfId="0" applyFont="1" applyFill="1" applyBorder="1" applyAlignment="1">
      <alignment horizontal="center" vertical="center"/>
    </xf>
    <xf numFmtId="0" fontId="190" fillId="0" borderId="56" xfId="0" applyFont="1" applyFill="1" applyBorder="1" applyAlignment="1">
      <alignment horizontal="center" vertical="center"/>
    </xf>
    <xf numFmtId="0" fontId="190" fillId="0" borderId="35" xfId="0" applyFont="1" applyFill="1" applyBorder="1" applyAlignment="1">
      <alignment horizontal="center" vertical="center"/>
    </xf>
    <xf numFmtId="0" fontId="190" fillId="0" borderId="32" xfId="0" applyFont="1" applyFill="1" applyBorder="1" applyAlignment="1">
      <alignment horizontal="center" vertical="center"/>
    </xf>
    <xf numFmtId="0" fontId="190" fillId="0" borderId="23" xfId="0" applyFont="1" applyFill="1" applyBorder="1" applyAlignment="1">
      <alignment horizontal="center" vertical="center"/>
    </xf>
    <xf numFmtId="0" fontId="190" fillId="0" borderId="24" xfId="0" applyFont="1" applyFill="1" applyBorder="1" applyAlignment="1">
      <alignment horizontal="center" vertical="center"/>
    </xf>
    <xf numFmtId="1" fontId="190" fillId="0" borderId="32" xfId="0" applyNumberFormat="1" applyFont="1" applyFill="1" applyBorder="1" applyAlignment="1">
      <alignment horizontal="center" vertical="center" wrapText="1"/>
    </xf>
    <xf numFmtId="1" fontId="190" fillId="0" borderId="23" xfId="0" applyNumberFormat="1" applyFont="1" applyFill="1" applyBorder="1" applyAlignment="1">
      <alignment horizontal="center" vertical="center" wrapText="1"/>
    </xf>
    <xf numFmtId="1" fontId="190" fillId="0" borderId="24" xfId="0" applyNumberFormat="1" applyFont="1" applyFill="1" applyBorder="1" applyAlignment="1">
      <alignment horizontal="center" vertical="center" wrapText="1"/>
    </xf>
    <xf numFmtId="0" fontId="200" fillId="0" borderId="21" xfId="0" applyFont="1" applyFill="1" applyBorder="1" applyAlignment="1">
      <alignment horizontal="center"/>
    </xf>
    <xf numFmtId="0" fontId="200" fillId="0" borderId="20" xfId="0" applyFont="1" applyFill="1" applyBorder="1" applyAlignment="1">
      <alignment horizontal="center"/>
    </xf>
    <xf numFmtId="0" fontId="200" fillId="0" borderId="19" xfId="0" applyFont="1" applyFill="1" applyBorder="1" applyAlignment="1">
      <alignment horizontal="center"/>
    </xf>
    <xf numFmtId="174" fontId="22" fillId="0" borderId="21" xfId="70" applyNumberFormat="1" applyFont="1" applyFill="1" applyBorder="1" applyAlignment="1">
      <alignment horizontal="center" vertical="center" wrapText="1"/>
    </xf>
    <xf numFmtId="174" fontId="22" fillId="0" borderId="19" xfId="70" applyNumberFormat="1" applyFont="1" applyFill="1" applyBorder="1" applyAlignment="1">
      <alignment horizontal="center" vertical="center" wrapText="1"/>
    </xf>
    <xf numFmtId="174" fontId="48" fillId="0" borderId="21" xfId="70" applyNumberFormat="1" applyFont="1" applyFill="1" applyBorder="1" applyAlignment="1">
      <alignment horizontal="center" vertical="center" wrapText="1"/>
    </xf>
    <xf numFmtId="174" fontId="48" fillId="0" borderId="19" xfId="70" applyNumberFormat="1" applyFont="1" applyFill="1" applyBorder="1" applyAlignment="1">
      <alignment horizontal="center" vertical="center" wrapText="1"/>
    </xf>
    <xf numFmtId="171" fontId="193" fillId="0" borderId="21" xfId="70" applyNumberFormat="1" applyFont="1" applyFill="1" applyBorder="1" applyAlignment="1">
      <alignment horizontal="right" vertical="center" wrapText="1"/>
    </xf>
    <xf numFmtId="171" fontId="193" fillId="0" borderId="20" xfId="70" applyNumberFormat="1" applyFont="1" applyFill="1" applyBorder="1" applyAlignment="1">
      <alignment horizontal="right" vertical="center" wrapText="1"/>
    </xf>
    <xf numFmtId="171" fontId="193" fillId="0" borderId="19" xfId="70" applyNumberFormat="1" applyFont="1" applyFill="1" applyBorder="1" applyAlignment="1">
      <alignment horizontal="right" vertical="center" wrapText="1"/>
    </xf>
    <xf numFmtId="0" fontId="191" fillId="0" borderId="22" xfId="0" applyFont="1" applyFill="1" applyBorder="1" applyAlignment="1">
      <alignment horizontal="left" vertical="top" wrapText="1"/>
    </xf>
    <xf numFmtId="0" fontId="201" fillId="0" borderId="0" xfId="0" applyFont="1" applyFill="1" applyAlignment="1">
      <alignment horizontal="justify" vertical="top" wrapText="1"/>
    </xf>
    <xf numFmtId="0" fontId="192" fillId="0" borderId="21" xfId="0" applyFont="1" applyFill="1" applyBorder="1" applyAlignment="1">
      <alignment horizontal="left" vertical="center" wrapText="1"/>
    </xf>
    <xf numFmtId="0" fontId="192" fillId="0" borderId="20" xfId="0" applyFont="1" applyFill="1" applyBorder="1" applyAlignment="1">
      <alignment horizontal="left" vertical="center" wrapText="1"/>
    </xf>
    <xf numFmtId="0" fontId="192" fillId="0" borderId="19" xfId="0" applyFont="1" applyFill="1" applyBorder="1" applyAlignment="1">
      <alignment horizontal="left" vertical="center" wrapText="1"/>
    </xf>
    <xf numFmtId="0" fontId="200" fillId="0" borderId="0" xfId="0" applyFont="1" applyFill="1" applyAlignment="1">
      <alignment horizontal="left" vertical="top" wrapText="1"/>
    </xf>
    <xf numFmtId="0" fontId="200" fillId="0" borderId="22" xfId="0" applyFont="1" applyFill="1" applyBorder="1" applyAlignment="1">
      <alignment horizontal="left" vertical="center" wrapText="1"/>
    </xf>
    <xf numFmtId="0" fontId="25" fillId="0" borderId="0" xfId="0" applyFont="1" applyFill="1" applyBorder="1" applyAlignment="1">
      <alignment horizontal="left" vertical="center" wrapText="1"/>
    </xf>
    <xf numFmtId="171" fontId="21" fillId="0" borderId="19" xfId="70" applyNumberFormat="1" applyFont="1" applyFill="1" applyBorder="1" applyAlignment="1">
      <alignment horizontal="center" vertical="center" wrapText="1"/>
    </xf>
    <xf numFmtId="41" fontId="233" fillId="0" borderId="0" xfId="0" applyNumberFormat="1" applyFont="1" applyFill="1" applyBorder="1" applyAlignment="1">
      <alignment horizontal="center" vertical="center" wrapText="1"/>
    </xf>
    <xf numFmtId="0" fontId="27" fillId="0" borderId="22" xfId="0" applyFont="1" applyFill="1" applyBorder="1" applyAlignment="1">
      <alignment horizontal="left" vertical="center" wrapText="1"/>
    </xf>
    <xf numFmtId="174" fontId="21" fillId="0" borderId="21" xfId="70" applyNumberFormat="1" applyFont="1" applyFill="1" applyBorder="1" applyAlignment="1">
      <alignment horizontal="center" vertical="center" wrapText="1"/>
    </xf>
    <xf numFmtId="174" fontId="21" fillId="0" borderId="19" xfId="70" applyNumberFormat="1" applyFont="1" applyFill="1" applyBorder="1" applyAlignment="1">
      <alignment horizontal="center" vertical="center" wrapText="1"/>
    </xf>
    <xf numFmtId="0" fontId="190" fillId="0" borderId="0" xfId="0" applyFont="1" applyFill="1" applyBorder="1" applyAlignment="1">
      <alignment horizontal="justify" vertical="top" wrapText="1"/>
    </xf>
    <xf numFmtId="0" fontId="272" fillId="0" borderId="21" xfId="0" applyFont="1" applyFill="1" applyBorder="1" applyAlignment="1">
      <alignment horizontal="center" vertical="center" wrapText="1"/>
    </xf>
    <xf numFmtId="0" fontId="272" fillId="0" borderId="20" xfId="0" applyFont="1" applyFill="1" applyBorder="1" applyAlignment="1">
      <alignment horizontal="center" vertical="center" wrapText="1"/>
    </xf>
    <xf numFmtId="0" fontId="272" fillId="0" borderId="19" xfId="0" applyFont="1" applyFill="1" applyBorder="1" applyAlignment="1">
      <alignment horizontal="center" vertical="center" wrapText="1"/>
    </xf>
    <xf numFmtId="0" fontId="186" fillId="0" borderId="21" xfId="0" applyFont="1" applyFill="1" applyBorder="1" applyAlignment="1">
      <alignment horizontal="left" vertical="center" wrapText="1"/>
    </xf>
    <xf numFmtId="0" fontId="186" fillId="0" borderId="20" xfId="0" applyFont="1" applyFill="1" applyBorder="1" applyAlignment="1">
      <alignment horizontal="left" vertical="center" wrapText="1"/>
    </xf>
    <xf numFmtId="0" fontId="186" fillId="0" borderId="19" xfId="0" applyFont="1" applyFill="1" applyBorder="1" applyAlignment="1">
      <alignment horizontal="left" vertical="center" wrapText="1"/>
    </xf>
    <xf numFmtId="0" fontId="206" fillId="0" borderId="0" xfId="0" applyFont="1" applyFill="1" applyAlignment="1">
      <alignment vertical="top" wrapText="1"/>
    </xf>
    <xf numFmtId="0" fontId="206" fillId="0" borderId="0" xfId="0" applyFont="1" applyFill="1" applyBorder="1" applyAlignment="1">
      <alignment horizontal="right" vertical="center"/>
    </xf>
    <xf numFmtId="49" fontId="206" fillId="0" borderId="0" xfId="0" applyNumberFormat="1" applyFont="1" applyFill="1" applyBorder="1" applyAlignment="1">
      <alignment horizontal="center"/>
    </xf>
    <xf numFmtId="171" fontId="186" fillId="0" borderId="21" xfId="70" applyNumberFormat="1" applyFont="1" applyFill="1" applyBorder="1" applyAlignment="1">
      <alignment horizontal="center" vertical="center" wrapText="1"/>
    </xf>
    <xf numFmtId="171" fontId="186" fillId="0" borderId="20" xfId="70" applyNumberFormat="1" applyFont="1" applyFill="1" applyBorder="1" applyAlignment="1">
      <alignment horizontal="center" vertical="center" wrapText="1"/>
    </xf>
    <xf numFmtId="171" fontId="186" fillId="0" borderId="19" xfId="70" applyNumberFormat="1" applyFont="1" applyFill="1" applyBorder="1" applyAlignment="1">
      <alignment horizontal="center" vertical="center" wrapText="1"/>
    </xf>
    <xf numFmtId="168" fontId="22" fillId="0" borderId="19" xfId="0" applyNumberFormat="1" applyFont="1" applyFill="1" applyBorder="1" applyAlignment="1">
      <alignment horizontal="center" vertical="center" wrapText="1"/>
    </xf>
    <xf numFmtId="0" fontId="190" fillId="0" borderId="0" xfId="0" applyFont="1" applyFill="1" applyAlignment="1">
      <alignment horizontal="left" vertical="top" wrapText="1"/>
    </xf>
    <xf numFmtId="0" fontId="200" fillId="0" borderId="0" xfId="0" applyFont="1" applyFill="1" applyBorder="1" applyAlignment="1">
      <alignment horizontal="left" vertical="top"/>
    </xf>
    <xf numFmtId="0" fontId="190" fillId="0" borderId="0" xfId="0" applyFont="1" applyFill="1" applyAlignment="1">
      <alignment horizontal="left" vertical="center" wrapText="1"/>
    </xf>
    <xf numFmtId="0" fontId="30" fillId="0" borderId="19" xfId="0" applyFont="1" applyFill="1" applyBorder="1" applyAlignment="1">
      <alignment horizontal="left" vertical="center" wrapText="1"/>
    </xf>
    <xf numFmtId="0" fontId="191" fillId="0" borderId="23" xfId="0" applyFont="1" applyFill="1" applyBorder="1" applyAlignment="1">
      <alignment horizontal="center" vertical="center"/>
    </xf>
    <xf numFmtId="0" fontId="201" fillId="0" borderId="21" xfId="0" applyFont="1" applyFill="1" applyBorder="1" applyAlignment="1">
      <alignment vertical="center" wrapText="1"/>
    </xf>
    <xf numFmtId="0" fontId="201" fillId="0" borderId="20" xfId="0" applyFont="1" applyFill="1" applyBorder="1" applyAlignment="1">
      <alignment vertical="center" wrapText="1"/>
    </xf>
    <xf numFmtId="0" fontId="201" fillId="0" borderId="19" xfId="0" applyFont="1" applyFill="1" applyBorder="1" applyAlignment="1">
      <alignment vertical="center" wrapText="1"/>
    </xf>
    <xf numFmtId="171" fontId="190" fillId="0" borderId="21" xfId="70" applyNumberFormat="1" applyFont="1" applyFill="1" applyBorder="1" applyAlignment="1">
      <alignment horizontal="center" vertical="center" wrapText="1"/>
    </xf>
    <xf numFmtId="171" fontId="190" fillId="0" borderId="20" xfId="70" applyNumberFormat="1" applyFont="1" applyFill="1" applyBorder="1" applyAlignment="1">
      <alignment horizontal="center" vertical="center" wrapText="1"/>
    </xf>
    <xf numFmtId="171" fontId="190" fillId="0" borderId="19" xfId="70" applyNumberFormat="1" applyFont="1" applyFill="1" applyBorder="1" applyAlignment="1">
      <alignment horizontal="center" vertical="center" wrapText="1"/>
    </xf>
    <xf numFmtId="0" fontId="186" fillId="0" borderId="0" xfId="0" applyFont="1" applyFill="1" applyAlignment="1">
      <alignment horizontal="left" vertical="top" wrapText="1"/>
    </xf>
    <xf numFmtId="0" fontId="28" fillId="0" borderId="21"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190" fillId="0" borderId="0" xfId="0" applyFont="1" applyFill="1" applyBorder="1" applyAlignment="1">
      <alignment horizontal="left" vertical="top"/>
    </xf>
    <xf numFmtId="0" fontId="191" fillId="0" borderId="23" xfId="0" applyFont="1" applyFill="1" applyBorder="1" applyAlignment="1">
      <alignment horizontal="center" vertical="center" wrapText="1"/>
    </xf>
    <xf numFmtId="171" fontId="188" fillId="0" borderId="21" xfId="70" applyNumberFormat="1" applyFont="1" applyFill="1" applyBorder="1" applyAlignment="1">
      <alignment horizontal="right" vertical="center" wrapText="1"/>
    </xf>
    <xf numFmtId="171" fontId="188" fillId="0" borderId="20" xfId="70" applyNumberFormat="1" applyFont="1" applyFill="1" applyBorder="1" applyAlignment="1">
      <alignment horizontal="right" vertical="center" wrapText="1"/>
    </xf>
    <xf numFmtId="171" fontId="188" fillId="0" borderId="19" xfId="70" applyNumberFormat="1" applyFont="1" applyFill="1" applyBorder="1" applyAlignment="1">
      <alignment horizontal="right" vertical="center" wrapText="1"/>
    </xf>
    <xf numFmtId="43" fontId="270" fillId="0" borderId="22" xfId="69" applyNumberFormat="1" applyFont="1" applyFill="1" applyBorder="1" applyAlignment="1">
      <alignment horizontal="center" vertical="center" wrapText="1"/>
    </xf>
    <xf numFmtId="175" fontId="189" fillId="0" borderId="21" xfId="70" applyNumberFormat="1" applyFont="1" applyFill="1" applyBorder="1" applyAlignment="1">
      <alignment horizontal="center" vertical="center" wrapText="1"/>
    </xf>
    <xf numFmtId="175" fontId="189" fillId="0" borderId="20" xfId="70" applyNumberFormat="1" applyFont="1" applyFill="1" applyBorder="1" applyAlignment="1">
      <alignment horizontal="center" vertical="center" wrapText="1"/>
    </xf>
    <xf numFmtId="175" fontId="189" fillId="0" borderId="19" xfId="70" applyNumberFormat="1" applyFont="1" applyFill="1" applyBorder="1" applyAlignment="1">
      <alignment horizontal="center" vertical="center" wrapText="1"/>
    </xf>
    <xf numFmtId="175" fontId="189" fillId="0" borderId="22" xfId="70" applyNumberFormat="1" applyFont="1" applyFill="1" applyBorder="1" applyAlignment="1">
      <alignment horizontal="center" vertical="center" wrapText="1"/>
    </xf>
    <xf numFmtId="171" fontId="196" fillId="0" borderId="21" xfId="70" applyNumberFormat="1" applyFont="1" applyFill="1" applyBorder="1" applyAlignment="1">
      <alignment horizontal="center" vertical="center" wrapText="1"/>
    </xf>
    <xf numFmtId="171" fontId="196" fillId="0" borderId="20" xfId="70" applyNumberFormat="1" applyFont="1" applyFill="1" applyBorder="1" applyAlignment="1">
      <alignment horizontal="center" vertical="center" wrapText="1"/>
    </xf>
    <xf numFmtId="171" fontId="196" fillId="0" borderId="19" xfId="70" applyNumberFormat="1" applyFont="1" applyFill="1" applyBorder="1" applyAlignment="1">
      <alignment horizontal="center" vertical="center" wrapText="1"/>
    </xf>
    <xf numFmtId="0" fontId="186" fillId="0" borderId="21" xfId="0" applyFont="1" applyFill="1" applyBorder="1" applyAlignment="1">
      <alignment horizontal="center" vertical="top" wrapText="1"/>
    </xf>
    <xf numFmtId="0" fontId="186" fillId="0" borderId="20" xfId="0" applyFont="1" applyFill="1" applyBorder="1" applyAlignment="1">
      <alignment horizontal="center" vertical="top" wrapText="1"/>
    </xf>
    <xf numFmtId="0" fontId="186" fillId="0" borderId="19" xfId="0" applyFont="1" applyFill="1" applyBorder="1" applyAlignment="1">
      <alignment horizontal="center" vertical="top" wrapText="1"/>
    </xf>
    <xf numFmtId="0" fontId="186" fillId="0" borderId="23" xfId="0" applyFont="1" applyFill="1" applyBorder="1" applyAlignment="1">
      <alignment horizontal="justify" wrapText="1"/>
    </xf>
    <xf numFmtId="0" fontId="25" fillId="0" borderId="56" xfId="0" applyFont="1" applyFill="1" applyBorder="1" applyAlignment="1">
      <alignment horizontal="justify" vertical="top" wrapText="1"/>
    </xf>
    <xf numFmtId="176" fontId="270" fillId="0" borderId="21" xfId="70" applyNumberFormat="1" applyFont="1" applyFill="1" applyBorder="1" applyAlignment="1">
      <alignment horizontal="center" vertical="center" wrapText="1"/>
    </xf>
    <xf numFmtId="176" fontId="270" fillId="0" borderId="20" xfId="70" applyNumberFormat="1" applyFont="1" applyFill="1" applyBorder="1" applyAlignment="1">
      <alignment horizontal="center" vertical="center" wrapText="1"/>
    </xf>
    <xf numFmtId="176" fontId="270" fillId="0" borderId="19" xfId="70" applyNumberFormat="1" applyFont="1" applyFill="1" applyBorder="1" applyAlignment="1">
      <alignment horizontal="center" vertical="center" wrapText="1"/>
    </xf>
    <xf numFmtId="0" fontId="186" fillId="0" borderId="0" xfId="0" applyFont="1" applyFill="1" applyAlignment="1">
      <alignment horizontal="justify" vertical="top" wrapText="1"/>
    </xf>
    <xf numFmtId="41" fontId="270" fillId="0" borderId="34" xfId="70" applyNumberFormat="1" applyFont="1" applyFill="1" applyBorder="1" applyAlignment="1">
      <alignment horizontal="center" vertical="center" wrapText="1"/>
    </xf>
    <xf numFmtId="171" fontId="277" fillId="0" borderId="34" xfId="70" applyNumberFormat="1" applyFont="1" applyFill="1" applyBorder="1" applyAlignment="1">
      <alignment horizontal="center" vertical="center" wrapText="1"/>
    </xf>
    <xf numFmtId="171" fontId="270" fillId="0" borderId="34" xfId="70" applyNumberFormat="1" applyFont="1" applyFill="1" applyBorder="1" applyAlignment="1">
      <alignment horizontal="center" vertical="center" wrapText="1"/>
    </xf>
    <xf numFmtId="171" fontId="272" fillId="0" borderId="21" xfId="70" applyNumberFormat="1" applyFont="1" applyFill="1" applyBorder="1" applyAlignment="1">
      <alignment horizontal="center" vertical="center" wrapText="1"/>
    </xf>
    <xf numFmtId="171" fontId="272" fillId="0" borderId="20" xfId="70" applyNumberFormat="1" applyFont="1" applyFill="1" applyBorder="1" applyAlignment="1">
      <alignment horizontal="center" vertical="center" wrapText="1"/>
    </xf>
    <xf numFmtId="171" fontId="272" fillId="0" borderId="19" xfId="70" applyNumberFormat="1" applyFont="1" applyFill="1" applyBorder="1" applyAlignment="1">
      <alignment horizontal="center" vertical="center" wrapText="1"/>
    </xf>
    <xf numFmtId="0" fontId="190" fillId="0" borderId="32" xfId="0" applyFont="1" applyFill="1" applyBorder="1" applyAlignment="1">
      <alignment horizontal="center" vertical="top" wrapText="1"/>
    </xf>
    <xf numFmtId="0" fontId="190" fillId="0" borderId="23" xfId="0" applyFont="1" applyFill="1" applyBorder="1" applyAlignment="1">
      <alignment horizontal="center" vertical="top" wrapText="1"/>
    </xf>
    <xf numFmtId="0" fontId="190" fillId="0" borderId="24" xfId="0" applyFont="1" applyFill="1" applyBorder="1" applyAlignment="1">
      <alignment horizontal="center" vertical="top" wrapText="1"/>
    </xf>
    <xf numFmtId="0" fontId="272" fillId="0" borderId="22" xfId="0" applyNumberFormat="1" applyFont="1" applyFill="1" applyBorder="1" applyAlignment="1" quotePrefix="1">
      <alignment horizontal="center" vertical="center" wrapText="1"/>
    </xf>
    <xf numFmtId="0" fontId="272" fillId="0" borderId="22" xfId="0" applyNumberFormat="1" applyFont="1" applyFill="1" applyBorder="1" applyAlignment="1">
      <alignment horizontal="center" vertical="center" wrapText="1"/>
    </xf>
    <xf numFmtId="41" fontId="186" fillId="0" borderId="56" xfId="0" applyNumberFormat="1" applyFont="1" applyFill="1" applyBorder="1" applyAlignment="1">
      <alignment horizontal="center" vertical="top" wrapText="1"/>
    </xf>
    <xf numFmtId="0" fontId="186" fillId="0" borderId="0" xfId="0" applyFont="1" applyFill="1" applyBorder="1" applyAlignment="1">
      <alignment horizontal="justify" wrapText="1"/>
    </xf>
    <xf numFmtId="0" fontId="225" fillId="0" borderId="0" xfId="0" applyFont="1" applyFill="1" applyBorder="1" applyAlignment="1">
      <alignment horizontal="left" vertical="top" wrapText="1"/>
    </xf>
    <xf numFmtId="0" fontId="193" fillId="0" borderId="21" xfId="70" applyNumberFormat="1" applyFont="1" applyFill="1" applyBorder="1" applyAlignment="1">
      <alignment horizontal="center" vertical="center" wrapText="1"/>
    </xf>
    <xf numFmtId="0" fontId="193" fillId="0" borderId="20" xfId="70" applyNumberFormat="1" applyFont="1" applyFill="1" applyBorder="1" applyAlignment="1">
      <alignment horizontal="center" vertical="center" wrapText="1"/>
    </xf>
    <xf numFmtId="0" fontId="193" fillId="0" borderId="19" xfId="70" applyNumberFormat="1" applyFont="1" applyFill="1" applyBorder="1" applyAlignment="1">
      <alignment horizontal="center" vertical="center" wrapText="1"/>
    </xf>
    <xf numFmtId="171" fontId="275" fillId="0" borderId="34" xfId="70" applyNumberFormat="1" applyFont="1" applyFill="1" applyBorder="1" applyAlignment="1">
      <alignment horizontal="center" vertical="center" wrapText="1"/>
    </xf>
    <xf numFmtId="0" fontId="200" fillId="0" borderId="56" xfId="0" applyFont="1" applyFill="1" applyBorder="1" applyAlignment="1">
      <alignment horizontal="left" vertical="top" wrapText="1"/>
    </xf>
    <xf numFmtId="41" fontId="200" fillId="0" borderId="56" xfId="0" applyNumberFormat="1" applyFont="1" applyFill="1" applyBorder="1" applyAlignment="1">
      <alignment horizontal="center" vertical="top" wrapText="1"/>
    </xf>
    <xf numFmtId="168" fontId="75" fillId="0" borderId="21" xfId="0" applyNumberFormat="1" applyFont="1" applyFill="1" applyBorder="1" applyAlignment="1">
      <alignment horizontal="center" vertical="center" wrapText="1"/>
    </xf>
    <xf numFmtId="168" fontId="75" fillId="0" borderId="20" xfId="0" applyNumberFormat="1" applyFont="1" applyFill="1" applyBorder="1" applyAlignment="1">
      <alignment horizontal="center" vertical="center" wrapText="1"/>
    </xf>
    <xf numFmtId="168" fontId="75" fillId="0" borderId="19" xfId="0" applyNumberFormat="1" applyFont="1" applyFill="1" applyBorder="1" applyAlignment="1">
      <alignment horizontal="center" vertical="center" wrapText="1"/>
    </xf>
    <xf numFmtId="0" fontId="200" fillId="0" borderId="0" xfId="0" applyFont="1" applyFill="1" applyBorder="1" applyAlignment="1">
      <alignment horizontal="center"/>
    </xf>
    <xf numFmtId="168" fontId="21" fillId="0" borderId="21" xfId="0" applyNumberFormat="1" applyFont="1" applyFill="1" applyBorder="1" applyAlignment="1">
      <alignment horizontal="center" vertical="center" wrapText="1"/>
    </xf>
    <xf numFmtId="168" fontId="21" fillId="0" borderId="20" xfId="0" applyNumberFormat="1" applyFont="1" applyFill="1" applyBorder="1" applyAlignment="1">
      <alignment horizontal="center" vertical="center" wrapText="1"/>
    </xf>
    <xf numFmtId="168" fontId="21" fillId="0" borderId="19" xfId="0" applyNumberFormat="1" applyFont="1" applyFill="1" applyBorder="1" applyAlignment="1">
      <alignment horizontal="center" vertical="center" wrapText="1"/>
    </xf>
    <xf numFmtId="0" fontId="49" fillId="0" borderId="21" xfId="0" applyFont="1" applyFill="1" applyBorder="1" applyAlignment="1">
      <alignment horizontal="left" vertical="center" wrapText="1"/>
    </xf>
    <xf numFmtId="0" fontId="49" fillId="0" borderId="20" xfId="0" applyFont="1" applyFill="1" applyBorder="1" applyAlignment="1">
      <alignment horizontal="left" vertical="center" wrapText="1"/>
    </xf>
    <xf numFmtId="168" fontId="227" fillId="0" borderId="21" xfId="0" applyNumberFormat="1" applyFont="1" applyFill="1" applyBorder="1" applyAlignment="1">
      <alignment horizontal="center" vertical="center" wrapText="1"/>
    </xf>
    <xf numFmtId="168" fontId="227" fillId="0" borderId="20" xfId="0" applyNumberFormat="1" applyFont="1" applyFill="1" applyBorder="1" applyAlignment="1">
      <alignment horizontal="center" vertical="center" wrapText="1"/>
    </xf>
    <xf numFmtId="168" fontId="227" fillId="0" borderId="19" xfId="0" applyNumberFormat="1" applyFont="1" applyFill="1" applyBorder="1" applyAlignment="1">
      <alignment horizontal="center" vertical="center" wrapText="1"/>
    </xf>
    <xf numFmtId="168" fontId="275" fillId="0" borderId="21" xfId="0" applyNumberFormat="1" applyFont="1" applyFill="1" applyBorder="1" applyAlignment="1">
      <alignment horizontal="center" vertical="center" wrapText="1"/>
    </xf>
    <xf numFmtId="168" fontId="275" fillId="0" borderId="20" xfId="0" applyNumberFormat="1" applyFont="1" applyFill="1" applyBorder="1" applyAlignment="1">
      <alignment horizontal="center" vertical="center" wrapText="1"/>
    </xf>
    <xf numFmtId="168" fontId="275" fillId="0" borderId="19" xfId="0" applyNumberFormat="1" applyFont="1" applyFill="1" applyBorder="1" applyAlignment="1">
      <alignment horizontal="center" vertical="center" wrapText="1"/>
    </xf>
    <xf numFmtId="41" fontId="193" fillId="0" borderId="21" xfId="0" applyNumberFormat="1" applyFont="1" applyFill="1" applyBorder="1" applyAlignment="1">
      <alignment horizontal="center" vertical="center" wrapText="1"/>
    </xf>
    <xf numFmtId="41" fontId="193" fillId="0" borderId="20" xfId="0" applyNumberFormat="1" applyFont="1" applyFill="1" applyBorder="1" applyAlignment="1">
      <alignment horizontal="center" vertical="center" wrapText="1"/>
    </xf>
    <xf numFmtId="41" fontId="193" fillId="0" borderId="19" xfId="0" applyNumberFormat="1" applyFont="1" applyFill="1" applyBorder="1" applyAlignment="1">
      <alignment horizontal="center" vertical="center" wrapText="1"/>
    </xf>
    <xf numFmtId="0" fontId="188" fillId="0" borderId="0" xfId="0" applyFont="1" applyFill="1" applyBorder="1" applyAlignment="1">
      <alignment horizontal="left" vertical="center" wrapText="1"/>
    </xf>
    <xf numFmtId="0" fontId="189" fillId="0" borderId="21" xfId="0" applyFont="1" applyFill="1" applyBorder="1" applyAlignment="1">
      <alignment horizontal="left" vertical="center" wrapText="1"/>
    </xf>
    <xf numFmtId="0" fontId="189" fillId="0" borderId="20" xfId="0" applyFont="1" applyFill="1" applyBorder="1" applyAlignment="1">
      <alignment horizontal="left" vertical="center" wrapText="1"/>
    </xf>
    <xf numFmtId="0" fontId="189" fillId="0" borderId="19" xfId="0" applyFont="1" applyFill="1" applyBorder="1" applyAlignment="1">
      <alignment horizontal="left" vertical="center" wrapText="1"/>
    </xf>
    <xf numFmtId="168" fontId="28" fillId="0" borderId="21" xfId="0" applyNumberFormat="1" applyFont="1" applyFill="1" applyBorder="1" applyAlignment="1">
      <alignment horizontal="center" vertical="center" wrapText="1"/>
    </xf>
    <xf numFmtId="168" fontId="28" fillId="0" borderId="20" xfId="0" applyNumberFormat="1" applyFont="1" applyFill="1" applyBorder="1" applyAlignment="1">
      <alignment horizontal="center" vertical="center" wrapText="1"/>
    </xf>
    <xf numFmtId="168" fontId="28" fillId="0" borderId="19" xfId="0" applyNumberFormat="1" applyFont="1" applyFill="1" applyBorder="1" applyAlignment="1">
      <alignment horizontal="center" vertical="center" wrapText="1"/>
    </xf>
    <xf numFmtId="168" fontId="230" fillId="0" borderId="22" xfId="0" applyNumberFormat="1" applyFont="1" applyFill="1" applyBorder="1" applyAlignment="1">
      <alignment horizontal="center" vertical="center" wrapText="1"/>
    </xf>
    <xf numFmtId="0" fontId="26" fillId="0" borderId="0" xfId="0" applyFont="1" applyFill="1" applyAlignment="1">
      <alignment horizontal="center" vertical="top"/>
    </xf>
    <xf numFmtId="0" fontId="25" fillId="0" borderId="0" xfId="0" applyNumberFormat="1" applyFont="1" applyFill="1" applyAlignment="1">
      <alignment horizontal="justify" vertical="center" wrapText="1"/>
    </xf>
    <xf numFmtId="168" fontId="188" fillId="0" borderId="21" xfId="0" applyNumberFormat="1" applyFont="1" applyFill="1" applyBorder="1" applyAlignment="1">
      <alignment horizontal="center" vertical="center" wrapText="1"/>
    </xf>
    <xf numFmtId="0" fontId="188" fillId="0" borderId="20" xfId="0" applyFont="1" applyFill="1" applyBorder="1" applyAlignment="1">
      <alignment horizontal="center" vertical="center" wrapText="1"/>
    </xf>
    <xf numFmtId="174" fontId="32" fillId="0" borderId="21" xfId="70" applyNumberFormat="1" applyFont="1" applyFill="1" applyBorder="1" applyAlignment="1">
      <alignment horizontal="center" vertical="top" wrapText="1"/>
    </xf>
    <xf numFmtId="174" fontId="32" fillId="0" borderId="19" xfId="70" applyNumberFormat="1" applyFont="1" applyFill="1" applyBorder="1" applyAlignment="1">
      <alignment horizontal="center" vertical="top" wrapText="1"/>
    </xf>
    <xf numFmtId="0" fontId="191" fillId="0" borderId="0" xfId="0" applyFont="1" applyFill="1" applyBorder="1" applyAlignment="1">
      <alignment horizontal="center" vertical="top"/>
    </xf>
    <xf numFmtId="0" fontId="26" fillId="0" borderId="0" xfId="0" applyFont="1" applyFill="1" applyAlignment="1">
      <alignment horizontal="center" vertical="top" wrapText="1"/>
    </xf>
    <xf numFmtId="0" fontId="0" fillId="0" borderId="56" xfId="0" applyFill="1" applyBorder="1" applyAlignment="1">
      <alignment/>
    </xf>
    <xf numFmtId="0" fontId="0" fillId="0" borderId="35" xfId="0" applyFill="1" applyBorder="1" applyAlignment="1">
      <alignment/>
    </xf>
    <xf numFmtId="0" fontId="0" fillId="0" borderId="32" xfId="0" applyFill="1" applyBorder="1" applyAlignment="1">
      <alignment/>
    </xf>
    <xf numFmtId="0" fontId="0" fillId="0" borderId="23" xfId="0" applyFill="1" applyBorder="1" applyAlignment="1">
      <alignment/>
    </xf>
    <xf numFmtId="0" fontId="0" fillId="0" borderId="24" xfId="0" applyFill="1" applyBorder="1" applyAlignment="1">
      <alignment/>
    </xf>
    <xf numFmtId="0" fontId="195" fillId="0" borderId="0" xfId="0" applyFont="1" applyFill="1" applyAlignment="1">
      <alignment horizontal="left" vertical="top" wrapText="1"/>
    </xf>
    <xf numFmtId="171" fontId="272" fillId="0" borderId="21" xfId="70" applyNumberFormat="1" applyFont="1" applyFill="1" applyBorder="1" applyAlignment="1">
      <alignment horizontal="right" vertical="center" wrapText="1"/>
    </xf>
    <xf numFmtId="171" fontId="272" fillId="0" borderId="20" xfId="70" applyNumberFormat="1" applyFont="1" applyFill="1" applyBorder="1" applyAlignment="1">
      <alignment horizontal="right" vertical="center" wrapText="1"/>
    </xf>
    <xf numFmtId="171" fontId="272" fillId="0" borderId="19" xfId="70" applyNumberFormat="1" applyFont="1" applyFill="1" applyBorder="1" applyAlignment="1">
      <alignment horizontal="right" vertical="center" wrapText="1"/>
    </xf>
    <xf numFmtId="174" fontId="32" fillId="0" borderId="21" xfId="70" applyNumberFormat="1" applyFont="1" applyFill="1" applyBorder="1" applyAlignment="1">
      <alignment horizontal="center" vertical="center" wrapText="1"/>
    </xf>
    <xf numFmtId="174" fontId="32" fillId="0" borderId="19" xfId="70" applyNumberFormat="1" applyFont="1" applyFill="1" applyBorder="1" applyAlignment="1">
      <alignment horizontal="center" vertical="center" wrapText="1"/>
    </xf>
    <xf numFmtId="0" fontId="192" fillId="0" borderId="56" xfId="0" applyFont="1" applyFill="1" applyBorder="1" applyAlignment="1">
      <alignment horizontal="center" vertical="center" wrapText="1"/>
    </xf>
    <xf numFmtId="0" fontId="193" fillId="0" borderId="22" xfId="0" applyFont="1" applyFill="1" applyBorder="1" applyAlignment="1">
      <alignment horizontal="center" vertical="top" wrapText="1"/>
    </xf>
    <xf numFmtId="0" fontId="19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96" fillId="0" borderId="21" xfId="0" applyFont="1" applyFill="1" applyBorder="1" applyAlignment="1">
      <alignment horizontal="left" vertical="center" wrapText="1"/>
    </xf>
    <xf numFmtId="0" fontId="196" fillId="0" borderId="20" xfId="0" applyFont="1" applyFill="1" applyBorder="1" applyAlignment="1">
      <alignment horizontal="left" vertical="center" wrapText="1"/>
    </xf>
    <xf numFmtId="0" fontId="196" fillId="0" borderId="19" xfId="0" applyFont="1" applyFill="1" applyBorder="1" applyAlignment="1">
      <alignment horizontal="left" vertical="center" wrapText="1"/>
    </xf>
    <xf numFmtId="0" fontId="196" fillId="0" borderId="21" xfId="0" applyFont="1" applyFill="1" applyBorder="1" applyAlignment="1">
      <alignment horizontal="left" vertical="center"/>
    </xf>
    <xf numFmtId="0" fontId="196" fillId="0" borderId="20" xfId="0" applyFont="1" applyFill="1" applyBorder="1" applyAlignment="1">
      <alignment horizontal="left" vertical="center"/>
    </xf>
    <xf numFmtId="0" fontId="196" fillId="0" borderId="19" xfId="0" applyFont="1" applyFill="1" applyBorder="1" applyAlignment="1">
      <alignment horizontal="left" vertical="center"/>
    </xf>
    <xf numFmtId="0" fontId="196" fillId="0" borderId="31" xfId="0" applyFont="1" applyFill="1" applyBorder="1" applyAlignment="1">
      <alignment horizontal="left" vertical="center"/>
    </xf>
    <xf numFmtId="0" fontId="196" fillId="0" borderId="56" xfId="0" applyFont="1" applyFill="1" applyBorder="1" applyAlignment="1">
      <alignment horizontal="left" vertical="center"/>
    </xf>
    <xf numFmtId="0" fontId="196" fillId="0" borderId="35" xfId="0" applyFont="1" applyFill="1" applyBorder="1" applyAlignment="1">
      <alignment horizontal="left" vertical="center"/>
    </xf>
    <xf numFmtId="0" fontId="190" fillId="0" borderId="21" xfId="0" applyFont="1" applyFill="1" applyBorder="1" applyAlignment="1">
      <alignment horizontal="center" vertical="center"/>
    </xf>
    <xf numFmtId="0" fontId="190" fillId="0" borderId="20" xfId="0" applyFont="1" applyFill="1" applyBorder="1" applyAlignment="1">
      <alignment horizontal="center" vertical="center"/>
    </xf>
    <xf numFmtId="0" fontId="190" fillId="0" borderId="19" xfId="0" applyFont="1" applyFill="1" applyBorder="1" applyAlignment="1">
      <alignment horizontal="center" vertical="center"/>
    </xf>
    <xf numFmtId="0" fontId="201" fillId="0" borderId="22" xfId="0" applyFont="1" applyFill="1" applyBorder="1" applyAlignment="1">
      <alignment horizontal="center" vertical="top"/>
    </xf>
    <xf numFmtId="0" fontId="200" fillId="0" borderId="21" xfId="0" applyFont="1" applyFill="1" applyBorder="1" applyAlignment="1">
      <alignment horizontal="left" vertical="top"/>
    </xf>
    <xf numFmtId="0" fontId="200" fillId="0" borderId="20" xfId="0" applyFont="1" applyFill="1" applyBorder="1" applyAlignment="1">
      <alignment horizontal="left" vertical="top"/>
    </xf>
    <xf numFmtId="0" fontId="200" fillId="0" borderId="19" xfId="0" applyFont="1" applyFill="1" applyBorder="1" applyAlignment="1">
      <alignment horizontal="left" vertical="top"/>
    </xf>
    <xf numFmtId="0" fontId="188" fillId="0" borderId="0" xfId="0" applyFont="1" applyFill="1" applyBorder="1" applyAlignment="1" quotePrefix="1">
      <alignment horizontal="center" vertical="center" wrapText="1"/>
    </xf>
    <xf numFmtId="0" fontId="188" fillId="0" borderId="0" xfId="0" applyFont="1" applyFill="1" applyBorder="1" applyAlignment="1">
      <alignment horizontal="center" vertical="center" wrapText="1"/>
    </xf>
    <xf numFmtId="0" fontId="192" fillId="0" borderId="0" xfId="0" applyFont="1" applyFill="1" applyBorder="1" applyAlignment="1">
      <alignment horizontal="right" vertical="center"/>
    </xf>
    <xf numFmtId="0" fontId="200" fillId="0" borderId="20" xfId="0" applyFont="1" applyFill="1" applyBorder="1" applyAlignment="1">
      <alignment/>
    </xf>
    <xf numFmtId="0" fontId="200" fillId="0" borderId="19" xfId="0" applyFont="1" applyFill="1" applyBorder="1" applyAlignment="1">
      <alignment/>
    </xf>
    <xf numFmtId="0" fontId="186" fillId="0" borderId="22" xfId="0" applyFont="1" applyFill="1" applyBorder="1" applyAlignment="1">
      <alignment horizontal="left" vertical="top" wrapText="1"/>
    </xf>
    <xf numFmtId="171" fontId="193" fillId="0" borderId="21" xfId="70" applyNumberFormat="1" applyFont="1" applyFill="1" applyBorder="1" applyAlignment="1">
      <alignment horizontal="center" vertical="center" wrapText="1"/>
    </xf>
    <xf numFmtId="171" fontId="200" fillId="0" borderId="20" xfId="70" applyNumberFormat="1" applyFont="1" applyFill="1" applyBorder="1" applyAlignment="1">
      <alignment/>
    </xf>
    <xf numFmtId="171" fontId="200" fillId="0" borderId="19" xfId="70" applyNumberFormat="1" applyFont="1" applyFill="1" applyBorder="1" applyAlignment="1">
      <alignment/>
    </xf>
    <xf numFmtId="41" fontId="232" fillId="0" borderId="23" xfId="0" applyNumberFormat="1" applyFont="1" applyFill="1" applyBorder="1" applyAlignment="1">
      <alignment horizontal="center" vertical="center" wrapText="1"/>
    </xf>
    <xf numFmtId="0" fontId="200" fillId="0" borderId="21" xfId="0" applyFont="1" applyFill="1" applyBorder="1" applyAlignment="1">
      <alignment horizontal="center" vertical="top"/>
    </xf>
    <xf numFmtId="43" fontId="229" fillId="0" borderId="21" xfId="69" applyNumberFormat="1" applyFont="1" applyFill="1" applyBorder="1" applyAlignment="1">
      <alignment horizontal="center" vertical="center"/>
    </xf>
    <xf numFmtId="43" fontId="229" fillId="0" borderId="19" xfId="69" applyNumberFormat="1" applyFont="1" applyFill="1" applyBorder="1" applyAlignment="1">
      <alignment horizontal="center" vertical="center"/>
    </xf>
    <xf numFmtId="168" fontId="193" fillId="0" borderId="22" xfId="0" applyNumberFormat="1" applyFont="1" applyFill="1" applyBorder="1" applyAlignment="1">
      <alignment horizontal="center" vertical="center" wrapText="1"/>
    </xf>
    <xf numFmtId="171" fontId="32" fillId="0" borderId="21" xfId="70" applyNumberFormat="1" applyFont="1" applyFill="1" applyBorder="1" applyAlignment="1">
      <alignment horizontal="center" vertical="center" wrapText="1"/>
    </xf>
    <xf numFmtId="171" fontId="32" fillId="0" borderId="19" xfId="70" applyNumberFormat="1" applyFont="1" applyFill="1" applyBorder="1" applyAlignment="1">
      <alignment horizontal="center" vertical="center" wrapText="1"/>
    </xf>
    <xf numFmtId="0" fontId="190" fillId="0" borderId="21" xfId="0" applyFont="1" applyFill="1" applyBorder="1" applyAlignment="1">
      <alignment horizontal="center" vertical="top" wrapText="1"/>
    </xf>
    <xf numFmtId="0" fontId="200" fillId="0" borderId="20" xfId="0" applyFont="1" applyFill="1" applyBorder="1" applyAlignment="1">
      <alignment horizontal="center" vertical="top" wrapText="1"/>
    </xf>
    <xf numFmtId="0" fontId="200" fillId="0" borderId="19" xfId="0" applyFont="1" applyFill="1" applyBorder="1" applyAlignment="1">
      <alignment horizontal="center" vertical="top" wrapText="1"/>
    </xf>
    <xf numFmtId="0" fontId="192" fillId="0" borderId="22" xfId="0" applyFont="1" applyFill="1" applyBorder="1" applyAlignment="1">
      <alignment horizontal="center" vertical="top" wrapText="1"/>
    </xf>
    <xf numFmtId="171" fontId="192" fillId="0" borderId="21" xfId="0" applyNumberFormat="1" applyFont="1" applyFill="1" applyBorder="1" applyAlignment="1">
      <alignment horizontal="right" vertical="top" wrapText="1"/>
    </xf>
    <xf numFmtId="171" fontId="192" fillId="0" borderId="20" xfId="0" applyNumberFormat="1" applyFont="1" applyFill="1" applyBorder="1" applyAlignment="1">
      <alignment horizontal="right" vertical="top" wrapText="1"/>
    </xf>
    <xf numFmtId="171" fontId="192" fillId="0" borderId="19" xfId="0" applyNumberFormat="1" applyFont="1" applyFill="1" applyBorder="1" applyAlignment="1">
      <alignment horizontal="right" vertical="top" wrapText="1"/>
    </xf>
    <xf numFmtId="171" fontId="265" fillId="0" borderId="21" xfId="70" applyNumberFormat="1" applyFont="1" applyFill="1" applyBorder="1" applyAlignment="1">
      <alignment horizontal="left" vertical="center" wrapText="1"/>
    </xf>
    <xf numFmtId="171" fontId="265" fillId="0" borderId="19" xfId="70" applyNumberFormat="1" applyFont="1" applyFill="1" applyBorder="1" applyAlignment="1">
      <alignment horizontal="left" vertical="center" wrapText="1"/>
    </xf>
    <xf numFmtId="0" fontId="278" fillId="0" borderId="0" xfId="0" applyFont="1" applyFill="1" applyBorder="1" applyAlignment="1">
      <alignment horizontal="left" vertical="top" wrapText="1"/>
    </xf>
    <xf numFmtId="0" fontId="26" fillId="0" borderId="0" xfId="0" applyFont="1" applyFill="1" applyAlignment="1">
      <alignment horizontal="justify" vertical="top" wrapText="1"/>
    </xf>
    <xf numFmtId="41" fontId="190" fillId="0" borderId="21" xfId="0" applyNumberFormat="1" applyFont="1" applyFill="1" applyBorder="1" applyAlignment="1">
      <alignment horizontal="center" vertical="center" wrapText="1"/>
    </xf>
    <xf numFmtId="41" fontId="190" fillId="0" borderId="20" xfId="0" applyNumberFormat="1" applyFont="1" applyFill="1" applyBorder="1" applyAlignment="1">
      <alignment horizontal="center" vertical="center" wrapText="1"/>
    </xf>
    <xf numFmtId="41" fontId="190" fillId="0" borderId="19" xfId="0" applyNumberFormat="1" applyFont="1" applyFill="1" applyBorder="1" applyAlignment="1">
      <alignment horizontal="center" vertical="center" wrapText="1"/>
    </xf>
    <xf numFmtId="0" fontId="195" fillId="0" borderId="25" xfId="0" applyFont="1" applyFill="1" applyBorder="1" applyAlignment="1">
      <alignment horizontal="left" vertical="top" wrapText="1"/>
    </xf>
    <xf numFmtId="0" fontId="43" fillId="0" borderId="0" xfId="0" applyFont="1" applyFill="1" applyAlignment="1">
      <alignment horizontal="left" vertical="top" wrapText="1"/>
    </xf>
    <xf numFmtId="0" fontId="258" fillId="55" borderId="0" xfId="0" applyFont="1" applyFill="1" applyAlignment="1">
      <alignment horizontal="right" vertical="center"/>
    </xf>
    <xf numFmtId="10" fontId="24" fillId="0" borderId="21"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188" fillId="0" borderId="21" xfId="0" applyFont="1" applyFill="1" applyBorder="1" applyAlignment="1">
      <alignment horizontal="left" vertical="top"/>
    </xf>
    <xf numFmtId="0" fontId="232" fillId="0" borderId="20" xfId="0" applyFont="1" applyFill="1" applyBorder="1" applyAlignment="1">
      <alignment/>
    </xf>
    <xf numFmtId="0" fontId="232" fillId="0" borderId="19" xfId="0" applyFont="1" applyFill="1" applyBorder="1" applyAlignment="1">
      <alignment/>
    </xf>
    <xf numFmtId="171" fontId="270" fillId="0" borderId="21" xfId="70" applyNumberFormat="1" applyFont="1" applyFill="1" applyBorder="1" applyAlignment="1">
      <alignment horizontal="center" vertical="top" wrapText="1"/>
    </xf>
    <xf numFmtId="171" fontId="270" fillId="0" borderId="20" xfId="70" applyNumberFormat="1" applyFont="1" applyFill="1" applyBorder="1" applyAlignment="1">
      <alignment horizontal="center" vertical="top" wrapText="1"/>
    </xf>
    <xf numFmtId="171" fontId="270" fillId="0" borderId="19" xfId="70" applyNumberFormat="1" applyFont="1" applyFill="1" applyBorder="1" applyAlignment="1">
      <alignment horizontal="center" vertical="top" wrapText="1"/>
    </xf>
    <xf numFmtId="0" fontId="192" fillId="0" borderId="21" xfId="0" applyFont="1" applyFill="1" applyBorder="1" applyAlignment="1">
      <alignment horizontal="left" vertical="top"/>
    </xf>
    <xf numFmtId="0" fontId="279" fillId="0" borderId="20" xfId="0" applyFont="1" applyFill="1" applyBorder="1" applyAlignment="1">
      <alignment/>
    </xf>
    <xf numFmtId="0" fontId="279" fillId="0" borderId="19" xfId="0" applyFont="1" applyFill="1" applyBorder="1" applyAlignment="1">
      <alignment/>
    </xf>
    <xf numFmtId="0" fontId="26" fillId="0" borderId="0" xfId="0" applyFont="1" applyFill="1" applyAlignment="1">
      <alignment horizontal="left" wrapText="1"/>
    </xf>
    <xf numFmtId="171" fontId="186" fillId="0" borderId="0" xfId="70" applyNumberFormat="1" applyFont="1" applyFill="1" applyBorder="1" applyAlignment="1">
      <alignment horizontal="center" wrapText="1"/>
    </xf>
    <xf numFmtId="0" fontId="193" fillId="0" borderId="21" xfId="0" applyFont="1" applyFill="1" applyBorder="1" applyAlignment="1">
      <alignment horizontal="left" vertical="center"/>
    </xf>
    <xf numFmtId="0" fontId="193" fillId="0" borderId="20" xfId="0" applyFont="1" applyFill="1" applyBorder="1" applyAlignment="1">
      <alignment horizontal="left" vertical="center"/>
    </xf>
    <xf numFmtId="0" fontId="193" fillId="0" borderId="19" xfId="0" applyFont="1" applyFill="1" applyBorder="1" applyAlignment="1">
      <alignment horizontal="left" vertical="center"/>
    </xf>
    <xf numFmtId="171" fontId="190" fillId="0" borderId="21" xfId="70" applyNumberFormat="1" applyFont="1" applyFill="1" applyBorder="1" applyAlignment="1">
      <alignment horizontal="center" vertical="top" wrapText="1"/>
    </xf>
    <xf numFmtId="171" fontId="190" fillId="0" borderId="20" xfId="70" applyNumberFormat="1" applyFont="1" applyFill="1" applyBorder="1" applyAlignment="1">
      <alignment horizontal="center" vertical="top" wrapText="1"/>
    </xf>
    <xf numFmtId="171" fontId="190" fillId="0" borderId="19" xfId="70" applyNumberFormat="1" applyFont="1" applyFill="1" applyBorder="1" applyAlignment="1">
      <alignment horizontal="center" vertical="top" wrapText="1"/>
    </xf>
    <xf numFmtId="0" fontId="190" fillId="0" borderId="20" xfId="0" applyFont="1" applyFill="1" applyBorder="1" applyAlignment="1">
      <alignment horizontal="center" vertical="top" wrapText="1"/>
    </xf>
    <xf numFmtId="0" fontId="190" fillId="0" borderId="19" xfId="0" applyFont="1" applyFill="1" applyBorder="1" applyAlignment="1">
      <alignment horizontal="center" vertical="top" wrapText="1"/>
    </xf>
    <xf numFmtId="171" fontId="189" fillId="0" borderId="22" xfId="70" applyNumberFormat="1" applyFont="1" applyFill="1" applyBorder="1" applyAlignment="1">
      <alignment horizontal="center" vertical="center" wrapText="1"/>
    </xf>
    <xf numFmtId="0" fontId="188" fillId="0" borderId="20" xfId="0" applyFont="1" applyFill="1" applyBorder="1" applyAlignment="1">
      <alignment horizontal="left" vertical="top"/>
    </xf>
    <xf numFmtId="0" fontId="188" fillId="0" borderId="19" xfId="0" applyFont="1" applyFill="1" applyBorder="1" applyAlignment="1">
      <alignment horizontal="left" vertical="top"/>
    </xf>
    <xf numFmtId="0" fontId="233" fillId="0" borderId="21" xfId="0" applyFont="1" applyFill="1" applyBorder="1" applyAlignment="1">
      <alignment horizontal="center" vertical="center" wrapText="1"/>
    </xf>
    <xf numFmtId="0" fontId="233" fillId="0" borderId="20" xfId="0" applyFont="1" applyFill="1" applyBorder="1" applyAlignment="1">
      <alignment horizontal="center" vertical="center" wrapText="1"/>
    </xf>
    <xf numFmtId="0" fontId="233" fillId="0" borderId="19" xfId="0" applyFont="1" applyFill="1" applyBorder="1" applyAlignment="1">
      <alignment horizontal="center" vertical="center" wrapText="1"/>
    </xf>
    <xf numFmtId="0" fontId="192" fillId="0" borderId="20" xfId="0" applyFont="1" applyFill="1" applyBorder="1" applyAlignment="1">
      <alignment horizontal="left" vertical="top"/>
    </xf>
    <xf numFmtId="0" fontId="192" fillId="0" borderId="19" xfId="0" applyFont="1" applyFill="1" applyBorder="1" applyAlignment="1">
      <alignment horizontal="left" vertical="top"/>
    </xf>
    <xf numFmtId="168" fontId="274" fillId="0" borderId="19" xfId="0" applyNumberFormat="1" applyFont="1" applyFill="1" applyBorder="1" applyAlignment="1">
      <alignment horizontal="center" vertical="center" wrapText="1"/>
    </xf>
    <xf numFmtId="0" fontId="236" fillId="0" borderId="21" xfId="0" applyFont="1" applyFill="1" applyBorder="1" applyAlignment="1">
      <alignment horizontal="center" vertical="center" wrapText="1"/>
    </xf>
    <xf numFmtId="0" fontId="236" fillId="0" borderId="20" xfId="0" applyFont="1" applyFill="1" applyBorder="1" applyAlignment="1">
      <alignment horizontal="center" vertical="center" wrapText="1"/>
    </xf>
    <xf numFmtId="0" fontId="236" fillId="0" borderId="19" xfId="0" applyFont="1" applyFill="1" applyBorder="1" applyAlignment="1">
      <alignment horizontal="center" vertical="center" wrapText="1"/>
    </xf>
    <xf numFmtId="0" fontId="225" fillId="0" borderId="0" xfId="0" applyFont="1" applyFill="1" applyBorder="1" applyAlignment="1">
      <alignment horizontal="justify" vertical="top" wrapText="1"/>
    </xf>
    <xf numFmtId="0" fontId="193" fillId="0" borderId="21" xfId="0" applyNumberFormat="1" applyFont="1" applyFill="1" applyBorder="1" applyAlignment="1" quotePrefix="1">
      <alignment horizontal="center" vertical="center" wrapText="1"/>
    </xf>
    <xf numFmtId="0" fontId="193" fillId="0" borderId="20" xfId="0" applyNumberFormat="1" applyFont="1" applyFill="1" applyBorder="1" applyAlignment="1" quotePrefix="1">
      <alignment horizontal="center" vertical="center" wrapText="1"/>
    </xf>
    <xf numFmtId="0" fontId="193" fillId="0" borderId="19" xfId="0" applyNumberFormat="1" applyFont="1" applyFill="1" applyBorder="1" applyAlignment="1" quotePrefix="1">
      <alignment horizontal="center" vertical="center" wrapText="1"/>
    </xf>
    <xf numFmtId="0" fontId="24" fillId="0" borderId="21" xfId="0" applyFont="1" applyFill="1" applyBorder="1" applyAlignment="1">
      <alignment horizontal="center" vertical="top" wrapText="1"/>
    </xf>
    <xf numFmtId="0" fontId="24" fillId="0" borderId="20" xfId="0" applyFont="1" applyFill="1" applyBorder="1" applyAlignment="1">
      <alignment horizontal="center" vertical="top" wrapText="1"/>
    </xf>
    <xf numFmtId="0" fontId="24" fillId="0" borderId="19" xfId="0" applyFont="1" applyFill="1" applyBorder="1" applyAlignment="1">
      <alignment horizontal="center" vertical="top" wrapText="1"/>
    </xf>
    <xf numFmtId="0" fontId="186" fillId="0" borderId="23" xfId="0" applyFont="1" applyFill="1" applyBorder="1" applyAlignment="1">
      <alignment horizontal="center" vertical="top"/>
    </xf>
    <xf numFmtId="168" fontId="229" fillId="0" borderId="21" xfId="0" applyNumberFormat="1" applyFont="1" applyFill="1" applyBorder="1" applyAlignment="1">
      <alignment horizontal="center" vertical="center" wrapText="1"/>
    </xf>
    <xf numFmtId="168" fontId="229" fillId="0" borderId="20" xfId="0" applyNumberFormat="1" applyFont="1" applyFill="1" applyBorder="1" applyAlignment="1">
      <alignment horizontal="center" vertical="center" wrapText="1"/>
    </xf>
    <xf numFmtId="0" fontId="30" fillId="0" borderId="21" xfId="0" applyFont="1" applyFill="1" applyBorder="1" applyAlignment="1">
      <alignment horizontal="left" vertical="center" wrapText="1"/>
    </xf>
    <xf numFmtId="0" fontId="190" fillId="0" borderId="21" xfId="0" applyFont="1" applyFill="1" applyBorder="1" applyAlignment="1">
      <alignment horizontal="left" vertical="center" wrapText="1"/>
    </xf>
    <xf numFmtId="0" fontId="190" fillId="0" borderId="20" xfId="0" applyFont="1" applyFill="1" applyBorder="1" applyAlignment="1">
      <alignment horizontal="left" vertical="center" wrapText="1"/>
    </xf>
    <xf numFmtId="0" fontId="190" fillId="0" borderId="19" xfId="0" applyFont="1" applyFill="1" applyBorder="1" applyAlignment="1">
      <alignment horizontal="left" vertical="center" wrapText="1"/>
    </xf>
    <xf numFmtId="43" fontId="190" fillId="0" borderId="22" xfId="69" applyFont="1" applyFill="1" applyBorder="1" applyAlignment="1">
      <alignment horizontal="left" vertical="center" wrapText="1"/>
    </xf>
    <xf numFmtId="168" fontId="229" fillId="0" borderId="19" xfId="0" applyNumberFormat="1" applyFont="1" applyFill="1" applyBorder="1" applyAlignment="1">
      <alignment horizontal="center" vertical="center" wrapText="1"/>
    </xf>
    <xf numFmtId="0" fontId="190" fillId="0" borderId="21" xfId="0" applyFont="1" applyFill="1" applyBorder="1" applyAlignment="1" quotePrefix="1">
      <alignment horizontal="center" vertical="center" wrapText="1"/>
    </xf>
    <xf numFmtId="0" fontId="190" fillId="0" borderId="20" xfId="0" applyFont="1" applyFill="1" applyBorder="1" applyAlignment="1" quotePrefix="1">
      <alignment horizontal="center" vertical="center" wrapText="1"/>
    </xf>
    <xf numFmtId="0" fontId="190" fillId="0" borderId="19" xfId="0" applyFont="1" applyFill="1" applyBorder="1" applyAlignment="1" quotePrefix="1">
      <alignment horizontal="center" vertical="center" wrapText="1"/>
    </xf>
    <xf numFmtId="171" fontId="192" fillId="0" borderId="21" xfId="70" applyNumberFormat="1" applyFont="1" applyFill="1" applyBorder="1" applyAlignment="1">
      <alignment horizontal="center" vertical="center" wrapText="1"/>
    </xf>
    <xf numFmtId="171" fontId="192" fillId="0" borderId="20" xfId="70" applyNumberFormat="1" applyFont="1" applyFill="1" applyBorder="1" applyAlignment="1">
      <alignment horizontal="center" vertical="center" wrapText="1"/>
    </xf>
    <xf numFmtId="171" fontId="192" fillId="0" borderId="19" xfId="70" applyNumberFormat="1" applyFont="1" applyFill="1" applyBorder="1" applyAlignment="1">
      <alignment horizontal="center" vertical="center" wrapText="1"/>
    </xf>
    <xf numFmtId="0" fontId="193" fillId="0" borderId="22" xfId="0" applyNumberFormat="1" applyFont="1" applyFill="1" applyBorder="1" applyAlignment="1" quotePrefix="1">
      <alignment horizontal="center" vertical="center" wrapText="1"/>
    </xf>
    <xf numFmtId="0" fontId="193" fillId="0" borderId="22" xfId="0" applyNumberFormat="1" applyFont="1" applyFill="1" applyBorder="1" applyAlignment="1">
      <alignment horizontal="center" vertical="center" wrapText="1"/>
    </xf>
    <xf numFmtId="0" fontId="200" fillId="0" borderId="0" xfId="0" applyFont="1" applyFill="1" applyBorder="1" applyAlignment="1" quotePrefix="1">
      <alignment horizontal="left" vertical="top" wrapText="1"/>
    </xf>
    <xf numFmtId="41" fontId="189" fillId="0" borderId="21" xfId="0" applyNumberFormat="1" applyFont="1" applyFill="1" applyBorder="1" applyAlignment="1">
      <alignment horizontal="center" vertical="center" wrapText="1"/>
    </xf>
    <xf numFmtId="41" fontId="189" fillId="0" borderId="20" xfId="0" applyNumberFormat="1" applyFont="1" applyFill="1" applyBorder="1" applyAlignment="1">
      <alignment horizontal="center" vertical="center" wrapText="1"/>
    </xf>
    <xf numFmtId="41" fontId="189" fillId="0" borderId="19" xfId="0" applyNumberFormat="1" applyFont="1" applyFill="1" applyBorder="1" applyAlignment="1">
      <alignment horizontal="center" vertical="center" wrapText="1"/>
    </xf>
    <xf numFmtId="0" fontId="26" fillId="0" borderId="0" xfId="0" applyFont="1" applyFill="1" applyBorder="1" applyAlignment="1">
      <alignment horizontal="left" vertical="top" wrapText="1"/>
    </xf>
    <xf numFmtId="41" fontId="186" fillId="0" borderId="0" xfId="0" applyNumberFormat="1" applyFont="1" applyFill="1" applyBorder="1" applyAlignment="1">
      <alignment horizontal="center" vertical="top" wrapText="1"/>
    </xf>
    <xf numFmtId="171" fontId="277" fillId="0" borderId="21" xfId="70" applyNumberFormat="1" applyFont="1" applyFill="1" applyBorder="1" applyAlignment="1">
      <alignment horizontal="center" vertical="center" wrapText="1"/>
    </xf>
    <xf numFmtId="171" fontId="277" fillId="0" borderId="20" xfId="70" applyNumberFormat="1" applyFont="1" applyFill="1" applyBorder="1" applyAlignment="1">
      <alignment horizontal="center" vertical="center" wrapText="1"/>
    </xf>
    <xf numFmtId="171" fontId="277" fillId="0" borderId="19" xfId="70" applyNumberFormat="1" applyFont="1" applyFill="1" applyBorder="1" applyAlignment="1">
      <alignment horizontal="center" vertical="center" wrapText="1"/>
    </xf>
    <xf numFmtId="41" fontId="277" fillId="0" borderId="21" xfId="70" applyNumberFormat="1" applyFont="1" applyFill="1" applyBorder="1" applyAlignment="1">
      <alignment horizontal="center" vertical="center" wrapText="1"/>
    </xf>
    <xf numFmtId="41" fontId="277" fillId="0" borderId="20" xfId="70" applyNumberFormat="1" applyFont="1" applyFill="1" applyBorder="1" applyAlignment="1">
      <alignment horizontal="center" vertical="center" wrapText="1"/>
    </xf>
    <xf numFmtId="41" fontId="277" fillId="0" borderId="19" xfId="70" applyNumberFormat="1" applyFont="1" applyFill="1" applyBorder="1" applyAlignment="1">
      <alignment horizontal="center" vertical="center" wrapText="1"/>
    </xf>
    <xf numFmtId="41" fontId="265" fillId="0" borderId="22" xfId="0" applyNumberFormat="1" applyFont="1" applyFill="1" applyBorder="1" applyAlignment="1">
      <alignment horizontal="center" vertical="center" wrapText="1"/>
    </xf>
    <xf numFmtId="41" fontId="270" fillId="0" borderId="22" xfId="70" applyNumberFormat="1" applyFont="1" applyFill="1" applyBorder="1" applyAlignment="1">
      <alignment horizontal="center" vertical="center" wrapText="1"/>
    </xf>
    <xf numFmtId="171" fontId="280" fillId="0" borderId="21" xfId="70" applyNumberFormat="1" applyFont="1" applyFill="1" applyBorder="1" applyAlignment="1">
      <alignment horizontal="center" vertical="center" wrapText="1"/>
    </xf>
    <xf numFmtId="171" fontId="280" fillId="0" borderId="20" xfId="70" applyNumberFormat="1" applyFont="1" applyFill="1" applyBorder="1" applyAlignment="1">
      <alignment horizontal="center" vertical="center" wrapText="1"/>
    </xf>
    <xf numFmtId="171" fontId="280" fillId="0" borderId="19" xfId="70" applyNumberFormat="1" applyFont="1" applyFill="1" applyBorder="1" applyAlignment="1">
      <alignment horizontal="center" vertical="center" wrapText="1"/>
    </xf>
    <xf numFmtId="41" fontId="272" fillId="0" borderId="21" xfId="0" applyNumberFormat="1" applyFont="1" applyFill="1" applyBorder="1" applyAlignment="1">
      <alignment horizontal="center" vertical="center" wrapText="1"/>
    </xf>
    <xf numFmtId="41" fontId="272" fillId="0" borderId="20" xfId="0" applyNumberFormat="1" applyFont="1" applyFill="1" applyBorder="1" applyAlignment="1">
      <alignment horizontal="center" vertical="center" wrapText="1"/>
    </xf>
    <xf numFmtId="41" fontId="272" fillId="0" borderId="19" xfId="0" applyNumberFormat="1" applyFont="1" applyFill="1" applyBorder="1" applyAlignment="1">
      <alignment horizontal="center" vertical="center" wrapText="1"/>
    </xf>
    <xf numFmtId="43" fontId="186" fillId="0" borderId="22" xfId="0" applyNumberFormat="1" applyFont="1" applyFill="1" applyBorder="1" applyAlignment="1">
      <alignment horizontal="center" vertical="center" wrapText="1"/>
    </xf>
    <xf numFmtId="0" fontId="186" fillId="0" borderId="22" xfId="0" applyFont="1" applyFill="1" applyBorder="1" applyAlignment="1">
      <alignment horizontal="center" vertical="center" wrapText="1"/>
    </xf>
    <xf numFmtId="0" fontId="271" fillId="0" borderId="0" xfId="0" applyFont="1" applyFill="1" applyAlignment="1">
      <alignment horizontal="left" vertical="top" wrapText="1"/>
    </xf>
    <xf numFmtId="43" fontId="190" fillId="0" borderId="22" xfId="0" applyNumberFormat="1" applyFont="1" applyFill="1" applyBorder="1" applyAlignment="1">
      <alignment horizontal="center" vertical="center" wrapText="1"/>
    </xf>
    <xf numFmtId="171" fontId="277" fillId="0" borderId="22" xfId="70" applyNumberFormat="1" applyFont="1" applyFill="1" applyBorder="1" applyAlignment="1">
      <alignment horizontal="center" vertical="center" wrapText="1"/>
    </xf>
    <xf numFmtId="0" fontId="193" fillId="0" borderId="32" xfId="0" applyNumberFormat="1" applyFont="1" applyFill="1" applyBorder="1" applyAlignment="1" quotePrefix="1">
      <alignment horizontal="center" vertical="center" wrapText="1"/>
    </xf>
    <xf numFmtId="0" fontId="193" fillId="0" borderId="23" xfId="0" applyNumberFormat="1" applyFont="1" applyFill="1" applyBorder="1" applyAlignment="1" quotePrefix="1">
      <alignment horizontal="center" vertical="center" wrapText="1"/>
    </xf>
    <xf numFmtId="0" fontId="193" fillId="0" borderId="24" xfId="0" applyNumberFormat="1" applyFont="1" applyFill="1" applyBorder="1" applyAlignment="1" quotePrefix="1">
      <alignment horizontal="center" vertical="center" wrapText="1"/>
    </xf>
    <xf numFmtId="41" fontId="193" fillId="0" borderId="30" xfId="0" applyNumberFormat="1" applyFont="1" applyFill="1" applyBorder="1" applyAlignment="1">
      <alignment horizontal="center" vertical="center" wrapText="1"/>
    </xf>
    <xf numFmtId="0" fontId="193" fillId="0" borderId="30" xfId="0" applyFont="1" applyFill="1" applyBorder="1" applyAlignment="1">
      <alignment horizontal="center" vertical="center" wrapText="1"/>
    </xf>
    <xf numFmtId="171" fontId="272" fillId="0" borderId="22" xfId="70" applyNumberFormat="1" applyFont="1" applyFill="1" applyBorder="1" applyAlignment="1">
      <alignment horizontal="center" vertical="center" wrapText="1"/>
    </xf>
    <xf numFmtId="171" fontId="265" fillId="0" borderId="22" xfId="70" applyNumberFormat="1"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9" xfId="0" applyFont="1" applyFill="1" applyBorder="1" applyAlignment="1">
      <alignment horizontal="center" vertical="center"/>
    </xf>
    <xf numFmtId="171" fontId="186" fillId="0" borderId="0" xfId="70" applyNumberFormat="1" applyFont="1" applyFill="1" applyBorder="1" applyAlignment="1">
      <alignment horizontal="left" vertical="top" wrapText="1"/>
    </xf>
    <xf numFmtId="171" fontId="190" fillId="0" borderId="21" xfId="70" applyNumberFormat="1" applyFont="1" applyFill="1" applyBorder="1" applyAlignment="1">
      <alignment horizontal="left" vertical="center" wrapText="1"/>
    </xf>
    <xf numFmtId="171" fontId="190" fillId="0" borderId="20" xfId="70" applyNumberFormat="1" applyFont="1" applyFill="1" applyBorder="1" applyAlignment="1">
      <alignment horizontal="left" vertical="center" wrapText="1"/>
    </xf>
    <xf numFmtId="171" fontId="190" fillId="0" borderId="19" xfId="70" applyNumberFormat="1" applyFont="1" applyFill="1" applyBorder="1" applyAlignment="1">
      <alignment horizontal="left" vertical="center" wrapText="1"/>
    </xf>
    <xf numFmtId="41" fontId="186" fillId="0" borderId="56" xfId="0" applyNumberFormat="1" applyFont="1" applyFill="1" applyBorder="1" applyAlignment="1">
      <alignment horizontal="center" vertical="center" wrapText="1"/>
    </xf>
    <xf numFmtId="0" fontId="201" fillId="0" borderId="21" xfId="0" applyFont="1" applyFill="1" applyBorder="1" applyAlignment="1">
      <alignment horizontal="left" vertical="center" wrapText="1"/>
    </xf>
    <xf numFmtId="0" fontId="201" fillId="0" borderId="20" xfId="0" applyFont="1" applyFill="1" applyBorder="1" applyAlignment="1">
      <alignment horizontal="left" vertical="center" wrapText="1"/>
    </xf>
    <xf numFmtId="0" fontId="201" fillId="0" borderId="19" xfId="0" applyFont="1" applyFill="1" applyBorder="1" applyAlignment="1">
      <alignment horizontal="left" vertical="center" wrapText="1"/>
    </xf>
    <xf numFmtId="0" fontId="190" fillId="0" borderId="22" xfId="0" applyFont="1" applyFill="1" applyBorder="1" applyAlignment="1">
      <alignment horizontal="center" vertical="top" wrapText="1"/>
    </xf>
    <xf numFmtId="0" fontId="201" fillId="0" borderId="0" xfId="0" applyFont="1" applyFill="1" applyBorder="1" applyAlignment="1">
      <alignment horizontal="center" vertical="center"/>
    </xf>
    <xf numFmtId="0" fontId="195" fillId="0" borderId="0" xfId="0" applyFont="1" applyFill="1" applyBorder="1" applyAlignment="1">
      <alignment horizontal="left" vertical="top" wrapText="1"/>
    </xf>
    <xf numFmtId="0" fontId="272" fillId="0" borderId="31"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9" xfId="0" applyFont="1" applyFill="1" applyBorder="1" applyAlignment="1">
      <alignment horizontal="center" vertical="center"/>
    </xf>
    <xf numFmtId="0" fontId="186" fillId="0" borderId="23" xfId="0" applyFont="1" applyFill="1" applyBorder="1" applyAlignment="1">
      <alignment horizontal="justify" vertical="top" wrapText="1"/>
    </xf>
    <xf numFmtId="0" fontId="226" fillId="0" borderId="0" xfId="0" applyFont="1" applyFill="1" applyAlignment="1">
      <alignment horizontal="left" vertical="center"/>
    </xf>
    <xf numFmtId="41" fontId="272" fillId="0" borderId="22" xfId="0" applyNumberFormat="1" applyFont="1" applyFill="1" applyBorder="1" applyAlignment="1" quotePrefix="1">
      <alignment horizontal="center" vertical="center" wrapText="1"/>
    </xf>
    <xf numFmtId="0" fontId="190" fillId="0" borderId="21" xfId="0" applyFont="1" applyFill="1" applyBorder="1" applyAlignment="1">
      <alignment horizontal="center" vertical="top"/>
    </xf>
    <xf numFmtId="0" fontId="190" fillId="0" borderId="20" xfId="0" applyFont="1" applyFill="1" applyBorder="1" applyAlignment="1">
      <alignment horizontal="center" vertical="top"/>
    </xf>
    <xf numFmtId="0" fontId="190" fillId="0" borderId="19" xfId="0" applyFont="1" applyFill="1" applyBorder="1" applyAlignment="1">
      <alignment horizontal="center" vertical="top"/>
    </xf>
    <xf numFmtId="0" fontId="201" fillId="0" borderId="21" xfId="0" applyFont="1" applyFill="1" applyBorder="1" applyAlignment="1">
      <alignment horizontal="center" vertical="top"/>
    </xf>
    <xf numFmtId="0" fontId="201" fillId="0" borderId="20" xfId="0" applyFont="1" applyFill="1" applyBorder="1" applyAlignment="1">
      <alignment horizontal="center" vertical="top"/>
    </xf>
    <xf numFmtId="0" fontId="201" fillId="0" borderId="19" xfId="0" applyFont="1" applyFill="1" applyBorder="1" applyAlignment="1">
      <alignment horizontal="center" vertical="top"/>
    </xf>
    <xf numFmtId="43" fontId="227" fillId="0" borderId="0" xfId="69" applyNumberFormat="1" applyFont="1" applyFill="1" applyBorder="1" applyAlignment="1">
      <alignment horizontal="center" vertical="center"/>
    </xf>
    <xf numFmtId="0" fontId="25" fillId="0" borderId="0" xfId="0" applyFont="1" applyFill="1" applyBorder="1" applyAlignment="1" quotePrefix="1">
      <alignment horizontal="left" vertical="top" wrapText="1"/>
    </xf>
    <xf numFmtId="1" fontId="190" fillId="0" borderId="0" xfId="0" applyNumberFormat="1" applyFont="1" applyFill="1" applyBorder="1" applyAlignment="1">
      <alignment horizontal="center" vertical="center" wrapText="1"/>
    </xf>
    <xf numFmtId="168" fontId="196" fillId="0" borderId="0" xfId="0" applyNumberFormat="1" applyFont="1" applyFill="1" applyBorder="1" applyAlignment="1">
      <alignment horizontal="center" vertical="center" wrapText="1"/>
    </xf>
    <xf numFmtId="0" fontId="190" fillId="0" borderId="0" xfId="0" applyFont="1" applyFill="1" applyBorder="1" applyAlignment="1">
      <alignment horizontal="center" vertical="center" wrapText="1"/>
    </xf>
    <xf numFmtId="168" fontId="232" fillId="0" borderId="21" xfId="0" applyNumberFormat="1" applyFont="1" applyFill="1" applyBorder="1" applyAlignment="1">
      <alignment horizontal="center" vertical="center" wrapText="1"/>
    </xf>
    <xf numFmtId="0" fontId="232" fillId="0" borderId="20" xfId="0" applyFont="1" applyFill="1" applyBorder="1" applyAlignment="1">
      <alignment horizontal="center" vertical="center" wrapText="1"/>
    </xf>
    <xf numFmtId="0" fontId="232" fillId="0" borderId="19" xfId="0" applyFont="1" applyFill="1" applyBorder="1" applyAlignment="1">
      <alignment horizontal="center" vertical="center" wrapText="1"/>
    </xf>
    <xf numFmtId="0" fontId="232" fillId="0" borderId="0" xfId="0" applyFont="1" applyFill="1" applyBorder="1" applyAlignment="1">
      <alignment horizontal="left" vertical="top" wrapText="1"/>
    </xf>
    <xf numFmtId="0" fontId="188" fillId="0" borderId="0" xfId="0" applyFont="1" applyFill="1" applyBorder="1" applyAlignment="1">
      <alignment horizontal="left" vertical="top" wrapText="1"/>
    </xf>
    <xf numFmtId="0" fontId="246" fillId="0" borderId="22" xfId="0" applyFont="1" applyFill="1" applyBorder="1" applyAlignment="1">
      <alignment horizontal="left" vertical="top" wrapText="1"/>
    </xf>
    <xf numFmtId="0" fontId="241" fillId="0" borderId="0" xfId="0" applyNumberFormat="1" applyFont="1" applyFill="1" applyAlignment="1">
      <alignment horizontal="justify" vertical="center" wrapText="1"/>
    </xf>
    <xf numFmtId="0" fontId="186" fillId="0" borderId="0" xfId="0" applyNumberFormat="1" applyFont="1" applyFill="1" applyAlignment="1">
      <alignment vertical="top" wrapText="1"/>
    </xf>
    <xf numFmtId="0" fontId="225" fillId="0" borderId="0" xfId="0" applyFont="1" applyFill="1" applyBorder="1" applyAlignment="1">
      <alignment horizontal="left" vertical="top"/>
    </xf>
    <xf numFmtId="171" fontId="227" fillId="0" borderId="21" xfId="70" applyNumberFormat="1" applyFont="1" applyFill="1" applyBorder="1" applyAlignment="1">
      <alignment horizontal="center"/>
    </xf>
    <xf numFmtId="171" fontId="227" fillId="0" borderId="20" xfId="70" applyNumberFormat="1" applyFont="1" applyFill="1" applyBorder="1" applyAlignment="1">
      <alignment horizontal="center"/>
    </xf>
    <xf numFmtId="171" fontId="227" fillId="0" borderId="19" xfId="70" applyNumberFormat="1" applyFont="1" applyFill="1" applyBorder="1" applyAlignment="1">
      <alignment horizontal="center"/>
    </xf>
    <xf numFmtId="0" fontId="26" fillId="0" borderId="0" xfId="0" applyFont="1" applyFill="1" applyBorder="1" applyAlignment="1">
      <alignment horizontal="justify" vertical="center" wrapText="1"/>
    </xf>
    <xf numFmtId="43" fontId="189" fillId="0" borderId="21" xfId="69" applyFont="1" applyFill="1" applyBorder="1" applyAlignment="1">
      <alignment horizontal="center" vertical="center" wrapText="1"/>
    </xf>
    <xf numFmtId="43" fontId="189" fillId="0" borderId="20" xfId="69" applyFont="1" applyFill="1" applyBorder="1" applyAlignment="1">
      <alignment horizontal="center" vertical="center" wrapText="1"/>
    </xf>
    <xf numFmtId="43" fontId="189" fillId="0" borderId="19" xfId="69" applyFont="1" applyFill="1" applyBorder="1" applyAlignment="1">
      <alignment horizontal="center" vertical="center" wrapText="1"/>
    </xf>
    <xf numFmtId="171" fontId="196" fillId="0" borderId="21" xfId="0" applyNumberFormat="1" applyFont="1" applyFill="1" applyBorder="1" applyAlignment="1">
      <alignment horizontal="center" vertical="center" wrapText="1"/>
    </xf>
    <xf numFmtId="171" fontId="196" fillId="0" borderId="20" xfId="0" applyNumberFormat="1" applyFont="1" applyFill="1" applyBorder="1" applyAlignment="1">
      <alignment horizontal="center" vertical="center" wrapText="1"/>
    </xf>
    <xf numFmtId="171" fontId="196" fillId="0" borderId="19" xfId="0" applyNumberFormat="1" applyFont="1" applyFill="1" applyBorder="1" applyAlignment="1">
      <alignment horizontal="center" vertical="center" wrapText="1"/>
    </xf>
    <xf numFmtId="0" fontId="192" fillId="0" borderId="21" xfId="0" applyFont="1" applyFill="1" applyBorder="1" applyAlignment="1">
      <alignment horizontal="left" vertical="top" wrapText="1"/>
    </xf>
    <xf numFmtId="0" fontId="192" fillId="0" borderId="20" xfId="0" applyFont="1" applyFill="1" applyBorder="1" applyAlignment="1">
      <alignment horizontal="left" vertical="top" wrapText="1"/>
    </xf>
    <xf numFmtId="0" fontId="192" fillId="0" borderId="19" xfId="0" applyFont="1" applyFill="1" applyBorder="1" applyAlignment="1">
      <alignment horizontal="left" vertical="top" wrapText="1"/>
    </xf>
    <xf numFmtId="0" fontId="200" fillId="0" borderId="22" xfId="0" applyFont="1" applyFill="1" applyBorder="1" applyAlignment="1">
      <alignment horizontal="center" vertical="center" wrapText="1"/>
    </xf>
    <xf numFmtId="0" fontId="190" fillId="0" borderId="0" xfId="0" applyFont="1" applyFill="1" applyBorder="1" applyAlignment="1">
      <alignment horizontal="center" vertical="center"/>
    </xf>
    <xf numFmtId="41" fontId="21" fillId="0" borderId="21" xfId="70" applyNumberFormat="1" applyFont="1" applyFill="1" applyBorder="1" applyAlignment="1">
      <alignment horizontal="center" vertical="center" wrapText="1"/>
    </xf>
    <xf numFmtId="41" fontId="21" fillId="0" borderId="19" xfId="70" applyNumberFormat="1" applyFont="1" applyFill="1" applyBorder="1" applyAlignment="1">
      <alignment horizontal="center" vertical="center" wrapText="1"/>
    </xf>
    <xf numFmtId="171" fontId="196" fillId="0" borderId="21" xfId="70" applyNumberFormat="1" applyFont="1" applyFill="1" applyBorder="1" applyAlignment="1">
      <alignment horizontal="left" vertical="center" wrapText="1"/>
    </xf>
    <xf numFmtId="171" fontId="196" fillId="0" borderId="20" xfId="70" applyNumberFormat="1" applyFont="1" applyFill="1" applyBorder="1" applyAlignment="1">
      <alignment horizontal="left" vertical="center" wrapText="1"/>
    </xf>
    <xf numFmtId="171" fontId="196" fillId="0" borderId="19" xfId="70" applyNumberFormat="1" applyFont="1" applyFill="1" applyBorder="1" applyAlignment="1">
      <alignment horizontal="left" vertical="center" wrapText="1"/>
    </xf>
    <xf numFmtId="171" fontId="193" fillId="0" borderId="20" xfId="70" applyNumberFormat="1" applyFont="1" applyFill="1" applyBorder="1" applyAlignment="1">
      <alignment horizontal="center" vertical="center" wrapText="1"/>
    </xf>
    <xf numFmtId="171" fontId="193" fillId="0" borderId="19" xfId="70" applyNumberFormat="1" applyFont="1" applyFill="1" applyBorder="1" applyAlignment="1">
      <alignment horizontal="center" vertical="center" wrapText="1"/>
    </xf>
    <xf numFmtId="168" fontId="193" fillId="0" borderId="0" xfId="0" applyNumberFormat="1" applyFont="1" applyFill="1" applyBorder="1" applyAlignment="1">
      <alignment horizontal="center" vertical="center" wrapText="1"/>
    </xf>
    <xf numFmtId="171" fontId="225" fillId="0" borderId="0" xfId="70" applyNumberFormat="1" applyFont="1" applyFill="1" applyBorder="1" applyAlignment="1">
      <alignment horizontal="center" vertical="top" wrapText="1"/>
    </xf>
    <xf numFmtId="0" fontId="186" fillId="0" borderId="56" xfId="0" applyFont="1" applyFill="1" applyBorder="1" applyAlignment="1">
      <alignment horizontal="justify" vertical="top" wrapText="1"/>
    </xf>
    <xf numFmtId="0" fontId="206" fillId="0" borderId="21" xfId="0" applyFont="1" applyFill="1" applyBorder="1" applyAlignment="1">
      <alignment horizontal="left" vertical="center" wrapText="1"/>
    </xf>
    <xf numFmtId="0" fontId="206" fillId="0" borderId="20" xfId="0" applyFont="1" applyFill="1" applyBorder="1" applyAlignment="1">
      <alignment horizontal="left" vertical="center" wrapText="1"/>
    </xf>
    <xf numFmtId="0" fontId="206" fillId="0" borderId="19" xfId="0" applyFont="1" applyFill="1" applyBorder="1" applyAlignment="1">
      <alignment horizontal="left" vertical="center" wrapText="1"/>
    </xf>
    <xf numFmtId="0" fontId="206" fillId="0" borderId="21" xfId="0" applyFont="1" applyFill="1" applyBorder="1" applyAlignment="1">
      <alignment horizontal="left" vertical="justify"/>
    </xf>
    <xf numFmtId="0" fontId="206" fillId="0" borderId="20" xfId="0" applyFont="1" applyFill="1" applyBorder="1" applyAlignment="1">
      <alignment horizontal="left" vertical="justify"/>
    </xf>
    <xf numFmtId="0" fontId="206" fillId="0" borderId="19" xfId="0" applyFont="1" applyFill="1" applyBorder="1" applyAlignment="1">
      <alignment horizontal="left" vertical="justify"/>
    </xf>
    <xf numFmtId="171" fontId="26" fillId="0" borderId="0" xfId="70" applyNumberFormat="1" applyFont="1" applyFill="1" applyBorder="1" applyAlignment="1">
      <alignment horizontal="center" vertical="top" wrapText="1"/>
    </xf>
    <xf numFmtId="0" fontId="186" fillId="0" borderId="0" xfId="0" applyFont="1" applyFill="1" applyAlignment="1">
      <alignment horizontal="left" vertical="center" wrapText="1"/>
    </xf>
    <xf numFmtId="0" fontId="191" fillId="0" borderId="23" xfId="0" applyFont="1" applyFill="1" applyBorder="1" applyAlignment="1">
      <alignment horizontal="center" vertical="top" wrapText="1"/>
    </xf>
    <xf numFmtId="0" fontId="27" fillId="0" borderId="21" xfId="0" applyFont="1" applyFill="1" applyBorder="1" applyAlignment="1">
      <alignment vertical="center" wrapText="1"/>
    </xf>
    <xf numFmtId="0" fontId="200" fillId="0" borderId="20" xfId="0" applyFont="1" applyFill="1" applyBorder="1" applyAlignment="1">
      <alignment vertical="center" wrapText="1"/>
    </xf>
    <xf numFmtId="0" fontId="200" fillId="0" borderId="19" xfId="0" applyFont="1" applyFill="1" applyBorder="1" applyAlignment="1">
      <alignment vertical="center"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171" fontId="22" fillId="0" borderId="0" xfId="70" applyNumberFormat="1" applyFont="1" applyFill="1" applyBorder="1" applyAlignment="1">
      <alignment horizontal="center" vertical="center" wrapText="1"/>
    </xf>
    <xf numFmtId="0" fontId="264" fillId="0" borderId="0" xfId="0" applyFont="1" applyFill="1" applyBorder="1" applyAlignment="1" quotePrefix="1">
      <alignment horizontal="left" vertical="top" wrapText="1"/>
    </xf>
    <xf numFmtId="0" fontId="264" fillId="0" borderId="21" xfId="0" applyFont="1" applyFill="1" applyBorder="1" applyAlignment="1">
      <alignment horizontal="center" vertical="center" wrapText="1"/>
    </xf>
    <xf numFmtId="0" fontId="230" fillId="0" borderId="20" xfId="0" applyFont="1" applyFill="1" applyBorder="1" applyAlignment="1">
      <alignment horizontal="center" vertical="center" wrapText="1"/>
    </xf>
    <xf numFmtId="0" fontId="230" fillId="0" borderId="21" xfId="0" applyFont="1" applyFill="1" applyBorder="1" applyAlignment="1">
      <alignment horizontal="left" vertical="top" wrapText="1"/>
    </xf>
    <xf numFmtId="171" fontId="21" fillId="0" borderId="31" xfId="70" applyNumberFormat="1" applyFont="1" applyFill="1" applyBorder="1" applyAlignment="1">
      <alignment horizontal="center" vertical="center" wrapText="1"/>
    </xf>
    <xf numFmtId="168" fontId="264" fillId="0" borderId="31" xfId="0" applyNumberFormat="1" applyFont="1" applyFill="1" applyBorder="1" applyAlignment="1">
      <alignment horizontal="left" vertical="top" wrapText="1"/>
    </xf>
    <xf numFmtId="168" fontId="264" fillId="0" borderId="34" xfId="0" applyNumberFormat="1" applyFont="1" applyFill="1" applyBorder="1" applyAlignment="1">
      <alignment horizontal="left" vertical="top" wrapText="1"/>
    </xf>
    <xf numFmtId="0" fontId="230" fillId="0" borderId="34" xfId="0" applyFont="1" applyFill="1" applyBorder="1" applyAlignment="1">
      <alignment horizontal="left" vertical="top" wrapText="1"/>
    </xf>
    <xf numFmtId="0" fontId="230" fillId="0" borderId="31" xfId="0" applyFont="1" applyFill="1" applyBorder="1" applyAlignment="1">
      <alignment horizontal="left" vertical="top" wrapText="1"/>
    </xf>
    <xf numFmtId="171" fontId="21" fillId="0" borderId="56" xfId="70" applyNumberFormat="1" applyFont="1" applyFill="1" applyBorder="1" applyAlignment="1">
      <alignment horizontal="center" vertical="center" wrapText="1"/>
    </xf>
    <xf numFmtId="168" fontId="264" fillId="0" borderId="56" xfId="0" applyNumberFormat="1" applyFont="1" applyFill="1" applyBorder="1" applyAlignment="1">
      <alignment horizontal="left" vertical="top" wrapText="1"/>
    </xf>
    <xf numFmtId="0" fontId="230" fillId="0" borderId="56" xfId="0" applyFont="1" applyFill="1" applyBorder="1" applyAlignment="1">
      <alignment horizontal="left" vertical="top" wrapText="1"/>
    </xf>
    <xf numFmtId="171" fontId="21" fillId="0" borderId="34" xfId="70" applyNumberFormat="1" applyFont="1" applyFill="1" applyBorder="1" applyAlignment="1">
      <alignment horizontal="center" vertical="center" wrapText="1"/>
    </xf>
    <xf numFmtId="0" fontId="0" fillId="0" borderId="34" xfId="0" applyFill="1" applyBorder="1" applyAlignment="1">
      <alignment/>
    </xf>
    <xf numFmtId="0" fontId="0" fillId="0" borderId="0" xfId="0" applyFill="1" applyBorder="1" applyAlignment="1">
      <alignment/>
    </xf>
    <xf numFmtId="0" fontId="230" fillId="0" borderId="21" xfId="0" applyFont="1" applyFill="1" applyBorder="1" applyAlignment="1">
      <alignment horizontal="left" vertical="center" wrapText="1"/>
    </xf>
    <xf numFmtId="0" fontId="230" fillId="0" borderId="20" xfId="0" applyFont="1" applyFill="1" applyBorder="1" applyAlignment="1">
      <alignment horizontal="left" vertical="center" wrapText="1"/>
    </xf>
    <xf numFmtId="0" fontId="230" fillId="0" borderId="19" xfId="0" applyFont="1" applyFill="1" applyBorder="1" applyAlignment="1">
      <alignment horizontal="left" vertical="center" wrapText="1"/>
    </xf>
    <xf numFmtId="43" fontId="186" fillId="0" borderId="22" xfId="0" applyNumberFormat="1" applyFont="1" applyFill="1" applyBorder="1" applyAlignment="1">
      <alignment horizontal="center" vertical="top" wrapText="1"/>
    </xf>
    <xf numFmtId="0" fontId="186" fillId="0" borderId="22" xfId="0" applyFont="1" applyFill="1" applyBorder="1" applyAlignment="1">
      <alignment horizontal="center" vertical="top"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0] 3" xfId="72"/>
    <cellStyle name="Comma 2" xfId="73"/>
    <cellStyle name="Comma 2 2" xfId="74"/>
    <cellStyle name="Comma 3" xfId="75"/>
    <cellStyle name="Comma 4" xfId="76"/>
    <cellStyle name="Comma 5" xfId="77"/>
    <cellStyle name="Comma 6" xfId="78"/>
    <cellStyle name="Comma 7" xfId="79"/>
    <cellStyle name="Comma 8" xfId="80"/>
    <cellStyle name="Currency" xfId="81"/>
    <cellStyle name="Currency [0]" xfId="82"/>
    <cellStyle name="Explanatory Text" xfId="83"/>
    <cellStyle name="Explanatory Text 2" xfId="84"/>
    <cellStyle name="Followed Hyperlink" xfId="85"/>
    <cellStyle name="Good" xfId="86"/>
    <cellStyle name="Good 2" xfId="87"/>
    <cellStyle name="Heading 1" xfId="88"/>
    <cellStyle name="Heading 1 2" xfId="89"/>
    <cellStyle name="Heading 2" xfId="90"/>
    <cellStyle name="Heading 2 2" xfId="91"/>
    <cellStyle name="Heading 3" xfId="92"/>
    <cellStyle name="Heading 3 2" xfId="93"/>
    <cellStyle name="Heading 4" xfId="94"/>
    <cellStyle name="Heading 4 2" xfId="95"/>
    <cellStyle name="Hyperlink" xfId="96"/>
    <cellStyle name="Input" xfId="97"/>
    <cellStyle name="Input 2" xfId="98"/>
    <cellStyle name="Linked Cell" xfId="99"/>
    <cellStyle name="Linked Cell 2" xfId="100"/>
    <cellStyle name="Neutral" xfId="101"/>
    <cellStyle name="Neutral 2" xfId="102"/>
    <cellStyle name="Normal 2" xfId="103"/>
    <cellStyle name="Normal 2 12" xfId="104"/>
    <cellStyle name="Normal 3 3" xfId="105"/>
    <cellStyle name="Normal 5" xfId="106"/>
    <cellStyle name="Normal 7" xfId="107"/>
    <cellStyle name="Normal 9" xfId="108"/>
    <cellStyle name="Note" xfId="109"/>
    <cellStyle name="Note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25"/>
          <c:y val="0.04525"/>
          <c:w val="0.654"/>
          <c:h val="0.9025"/>
        </c:manualLayout>
      </c:layout>
      <c:barChart>
        <c:barDir val="col"/>
        <c:grouping val="clustered"/>
        <c:varyColors val="0"/>
        <c:ser>
          <c:idx val="0"/>
          <c:order val="0"/>
          <c:tx>
            <c:strRef>
              <c:f>'Calk Umum'!$AB$341</c:f>
              <c:strCache>
                <c:ptCount val="1"/>
                <c:pt idx="0">
                  <c:v>Anggaran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'Calk Umum'!$V$342:$AA$345</c:f>
              <c:multiLvlStrCache/>
            </c:multiLvlStrRef>
          </c:cat>
          <c:val>
            <c:numRef>
              <c:f>'Calk Umum'!$AB$342:$AB$345</c:f>
              <c:numCache/>
            </c:numRef>
          </c:val>
        </c:ser>
        <c:ser>
          <c:idx val="1"/>
          <c:order val="1"/>
          <c:tx>
            <c:strRef>
              <c:f>'Calk Umum'!$AF$341</c:f>
              <c:strCache>
                <c:ptCount val="1"/>
                <c:pt idx="0">
                  <c:v>Realisasi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'Calk Umum'!$V$342:$AA$345</c:f>
              <c:multiLvlStrCache/>
            </c:multiLvlStrRef>
          </c:cat>
          <c:val>
            <c:numRef>
              <c:f>'Calk Umum'!$AF$342:$AF$345</c:f>
              <c:numCache/>
            </c:numRef>
          </c:val>
        </c:ser>
        <c:axId val="11923519"/>
        <c:axId val="40202808"/>
      </c:barChart>
      <c:catAx>
        <c:axId val="11923519"/>
        <c:scaling>
          <c:orientation val="minMax"/>
        </c:scaling>
        <c:axPos val="b"/>
        <c:delete val="0"/>
        <c:numFmt formatCode="General" sourceLinked="0"/>
        <c:majorTickMark val="out"/>
        <c:minorTickMark val="none"/>
        <c:tickLblPos val="nextTo"/>
        <c:spPr>
          <a:ln w="3175">
            <a:solidFill>
              <a:srgbClr val="808080"/>
            </a:solidFill>
          </a:ln>
        </c:spPr>
        <c:crossAx val="40202808"/>
        <c:crosses val="autoZero"/>
        <c:auto val="1"/>
        <c:lblOffset val="100"/>
        <c:tickLblSkip val="2"/>
        <c:noMultiLvlLbl val="0"/>
      </c:catAx>
      <c:valAx>
        <c:axId val="402028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23519"/>
        <c:crossesAt val="1"/>
        <c:crossBetween val="between"/>
        <c:dispUnits/>
      </c:valAx>
      <c:spPr>
        <a:solidFill>
          <a:srgbClr val="FFFFFF"/>
        </a:solidFill>
        <a:ln w="3175">
          <a:noFill/>
        </a:ln>
      </c:spPr>
    </c:plotArea>
    <c:legend>
      <c:legendPos val="r"/>
      <c:layout>
        <c:manualLayout>
          <c:xMode val="edge"/>
          <c:yMode val="edge"/>
          <c:x val="0.85425"/>
          <c:y val="0.394"/>
          <c:w val="0.1345"/>
          <c:h val="0.197"/>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8</xdr:col>
      <xdr:colOff>609600</xdr:colOff>
      <xdr:row>50</xdr:row>
      <xdr:rowOff>66675</xdr:rowOff>
    </xdr:to>
    <xdr:grpSp>
      <xdr:nvGrpSpPr>
        <xdr:cNvPr id="1" name="Group 1"/>
        <xdr:cNvGrpSpPr>
          <a:grpSpLocks/>
        </xdr:cNvGrpSpPr>
      </xdr:nvGrpSpPr>
      <xdr:grpSpPr>
        <a:xfrm>
          <a:off x="200025" y="0"/>
          <a:ext cx="5286375" cy="9591675"/>
          <a:chOff x="321" y="366"/>
          <a:chExt cx="13649" cy="15034"/>
        </a:xfrm>
        <a:solidFill>
          <a:srgbClr val="FFFFFF"/>
        </a:solidFill>
      </xdr:grpSpPr>
      <xdr:sp>
        <xdr:nvSpPr>
          <xdr:cNvPr id="2" name="Rectangle 2"/>
          <xdr:cNvSpPr>
            <a:spLocks/>
          </xdr:cNvSpPr>
        </xdr:nvSpPr>
        <xdr:spPr>
          <a:xfrm>
            <a:off x="321" y="366"/>
            <a:ext cx="13649" cy="1489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3"/>
          <xdr:cNvSpPr>
            <a:spLocks/>
          </xdr:cNvSpPr>
        </xdr:nvSpPr>
        <xdr:spPr>
          <a:xfrm>
            <a:off x="345" y="441"/>
            <a:ext cx="13451" cy="1793"/>
          </a:xfrm>
          <a:prstGeom prst="rect">
            <a:avLst/>
          </a:prstGeom>
          <a:solidFill>
            <a:srgbClr val="E36C0A"/>
          </a:solidFill>
          <a:ln w="9525" cmpd="sng">
            <a:noFill/>
          </a:ln>
        </xdr:spPr>
        <xdr:txBody>
          <a:bodyPr vertOverflow="clip" wrap="square" lIns="228600" tIns="45720" rIns="228600" bIns="45720"/>
          <a:p>
            <a:pPr algn="r">
              <a:defRPr/>
            </a:pPr>
            <a:r>
              <a:rPr lang="en-US" cap="none" sz="2200" b="0" i="0" u="none" baseline="0">
                <a:solidFill>
                  <a:srgbClr val="FFFFFF"/>
                </a:solidFill>
                <a:latin typeface="Calibri"/>
                <a:ea typeface="Calibri"/>
                <a:cs typeface="Calibri"/>
              </a:rPr>
              <a:t>PEMERINTAH</a:t>
            </a:r>
            <a:r>
              <a:rPr lang="en-US" cap="none" sz="2200" b="0" i="0" u="none" baseline="0">
                <a:solidFill>
                  <a:srgbClr val="FFFFFF"/>
                </a:solidFill>
                <a:latin typeface="Calibri"/>
                <a:ea typeface="Calibri"/>
                <a:cs typeface="Calibri"/>
              </a:rPr>
              <a:t> KABUPATEN WONOSOBO
</a:t>
            </a:r>
            <a:r>
              <a:rPr lang="en-US" cap="none" sz="2200" b="0" i="0" u="none" baseline="0">
                <a:solidFill>
                  <a:srgbClr val="FFFFFF"/>
                </a:solidFill>
                <a:latin typeface="Calibri"/>
                <a:ea typeface="Calibri"/>
                <a:cs typeface="Calibri"/>
              </a:rPr>
              <a:t>KECAMATAN KALIWIRO</a:t>
            </a:r>
            <a:r>
              <a:rPr lang="en-US" cap="none" sz="2200" b="0" i="0" u="none" baseline="0">
                <a:solidFill>
                  <a:srgbClr val="FFFFFF"/>
                </a:solidFill>
              </a:rPr>
              <a:t>
</a:t>
            </a:r>
          </a:p>
        </xdr:txBody>
      </xdr:sp>
      <xdr:sp>
        <xdr:nvSpPr>
          <xdr:cNvPr id="4" name="Rectangle 4"/>
          <xdr:cNvSpPr>
            <a:spLocks/>
          </xdr:cNvSpPr>
        </xdr:nvSpPr>
        <xdr:spPr>
          <a:xfrm>
            <a:off x="355" y="9608"/>
            <a:ext cx="2859" cy="1071"/>
          </a:xfrm>
          <a:prstGeom prst="rect">
            <a:avLst/>
          </a:prstGeom>
          <a:solidFill>
            <a:srgbClr val="943634"/>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Rectangle 5"/>
          <xdr:cNvSpPr>
            <a:spLocks/>
          </xdr:cNvSpPr>
        </xdr:nvSpPr>
        <xdr:spPr>
          <a:xfrm>
            <a:off x="3245" y="9608"/>
            <a:ext cx="2859" cy="1071"/>
          </a:xfrm>
          <a:prstGeom prst="rect">
            <a:avLst/>
          </a:prstGeom>
          <a:solidFill>
            <a:srgbClr val="943634"/>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6"/>
          <xdr:cNvSpPr>
            <a:spLocks/>
          </xdr:cNvSpPr>
        </xdr:nvSpPr>
        <xdr:spPr>
          <a:xfrm>
            <a:off x="6135" y="9608"/>
            <a:ext cx="2859" cy="1071"/>
          </a:xfrm>
          <a:prstGeom prst="rect">
            <a:avLst/>
          </a:prstGeom>
          <a:solidFill>
            <a:srgbClr val="943634"/>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Rectangle 7"/>
          <xdr:cNvSpPr>
            <a:spLocks/>
          </xdr:cNvSpPr>
        </xdr:nvSpPr>
        <xdr:spPr>
          <a:xfrm>
            <a:off x="9026" y="9608"/>
            <a:ext cx="2853" cy="1075"/>
          </a:xfrm>
          <a:prstGeom prst="rect">
            <a:avLst/>
          </a:prstGeom>
          <a:solidFill>
            <a:srgbClr val="943634"/>
          </a:solidFill>
          <a:ln w="9525" cmpd="sng">
            <a:noFill/>
          </a:ln>
        </xdr:spPr>
        <xdr:txBody>
          <a:bodyPr vertOverflow="clip" wrap="square"/>
          <a:p>
            <a:pPr algn="l">
              <a:defRPr/>
            </a:pPr>
            <a:r>
              <a:rPr lang="en-US" cap="none" sz="1100" b="0" i="0" u="none" baseline="0">
                <a:solidFill>
                  <a:srgbClr val="000000"/>
                </a:solidFill>
              </a:rPr>
              <a:t/>
            </a:r>
          </a:p>
        </xdr:txBody>
      </xdr:sp>
      <xdr:sp>
        <xdr:nvSpPr>
          <xdr:cNvPr id="8" name="Rectangle 8"/>
          <xdr:cNvSpPr>
            <a:spLocks/>
          </xdr:cNvSpPr>
        </xdr:nvSpPr>
        <xdr:spPr>
          <a:xfrm>
            <a:off x="345" y="2260"/>
            <a:ext cx="11533" cy="7314"/>
          </a:xfrm>
          <a:prstGeom prst="rect">
            <a:avLst/>
          </a:prstGeom>
          <a:solidFill>
            <a:srgbClr val="9BBB59"/>
          </a:solidFill>
          <a:ln w="9525" cmpd="sng">
            <a:noFill/>
          </a:ln>
        </xdr:spPr>
        <xdr:txBody>
          <a:bodyPr vertOverflow="clip" wrap="square" lIns="228600" tIns="45720" rIns="228600" bIns="45720"/>
          <a:p>
            <a:pPr algn="l">
              <a:defRPr/>
            </a:pPr>
            <a:r>
              <a:rPr lang="en-US" cap="none" sz="3600" b="0" i="0" u="none" baseline="0">
                <a:solidFill>
                  <a:srgbClr val="800000"/>
                </a:solidFill>
              </a:rPr>
              <a:t>LAPORAN KEUANGAN </a:t>
            </a:r>
            <a:r>
              <a:rPr lang="en-US" cap="none" sz="3600" b="0" i="0" u="none" baseline="0">
                <a:solidFill>
                  <a:srgbClr val="800000"/>
                </a:solidFill>
              </a:rPr>
              <a:t>
</a:t>
            </a:r>
            <a:r>
              <a:rPr lang="en-US" cap="none" sz="2000" b="0" i="0" u="none" baseline="0">
                <a:solidFill>
                  <a:srgbClr val="FFFFFF"/>
                </a:solidFill>
                <a:latin typeface="Calibri"/>
                <a:ea typeface="Calibri"/>
                <a:cs typeface="Calibri"/>
              </a:rPr>
              <a:t>Tahun Anggaran 2017</a:t>
            </a:r>
            <a:r>
              <a:rPr lang="en-US" cap="none" sz="2000" b="0" i="0" u="none" baseline="0">
                <a:solidFill>
                  <a:srgbClr val="FFFFFF"/>
                </a:solidFill>
              </a:rPr>
              <a:t>
</a:t>
            </a:r>
            <a:r>
              <a:rPr lang="en-US" cap="none" sz="1400" b="0" i="0" u="none" baseline="0">
                <a:solidFill>
                  <a:srgbClr val="FFFFFF"/>
                </a:solidFill>
              </a:rPr>
              <a:t>
</a:t>
            </a:r>
          </a:p>
        </xdr:txBody>
      </xdr:sp>
      <xdr:sp>
        <xdr:nvSpPr>
          <xdr:cNvPr id="9" name="Rectangle 9"/>
          <xdr:cNvSpPr>
            <a:spLocks/>
          </xdr:cNvSpPr>
        </xdr:nvSpPr>
        <xdr:spPr>
          <a:xfrm>
            <a:off x="9029" y="2264"/>
            <a:ext cx="2859" cy="7318"/>
          </a:xfrm>
          <a:prstGeom prst="rect">
            <a:avLst/>
          </a:prstGeom>
          <a:solidFill>
            <a:srgbClr val="DBE5F1"/>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Rectangle 10"/>
          <xdr:cNvSpPr>
            <a:spLocks/>
          </xdr:cNvSpPr>
        </xdr:nvSpPr>
        <xdr:spPr>
          <a:xfrm>
            <a:off x="355" y="10664"/>
            <a:ext cx="8643" cy="3935"/>
          </a:xfrm>
          <a:prstGeom prst="rect">
            <a:avLst/>
          </a:prstGeom>
          <a:solidFill>
            <a:srgbClr val="C0504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 name="Rectangle 11"/>
          <xdr:cNvSpPr>
            <a:spLocks/>
          </xdr:cNvSpPr>
        </xdr:nvSpPr>
        <xdr:spPr>
          <a:xfrm>
            <a:off x="9029" y="10709"/>
            <a:ext cx="2859" cy="3935"/>
          </a:xfrm>
          <a:prstGeom prst="rect">
            <a:avLst/>
          </a:prstGeom>
          <a:solidFill>
            <a:srgbClr val="78C0D4"/>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Rectangle 12"/>
          <xdr:cNvSpPr>
            <a:spLocks/>
          </xdr:cNvSpPr>
        </xdr:nvSpPr>
        <xdr:spPr>
          <a:xfrm>
            <a:off x="345" y="14682"/>
            <a:ext cx="11533" cy="718"/>
          </a:xfrm>
          <a:prstGeom prst="rect">
            <a:avLst/>
          </a:prstGeom>
          <a:solidFill>
            <a:srgbClr val="943634"/>
          </a:solidFill>
          <a:ln w="9525" cmpd="sng">
            <a:noFill/>
          </a:ln>
        </xdr:spPr>
        <xdr:txBody>
          <a:bodyPr vertOverflow="clip" wrap="square"/>
          <a:p>
            <a:pPr algn="l">
              <a:defRPr/>
            </a:pPr>
            <a:r>
              <a:rPr lang="en-US" cap="none" sz="1400" b="0" i="0" u="none" baseline="0">
                <a:solidFill>
                  <a:srgbClr val="FFFFFF"/>
                </a:solidFill>
                <a:latin typeface="Calibri"/>
                <a:ea typeface="Calibri"/>
                <a:cs typeface="Calibri"/>
              </a:rPr>
              <a:t>Jalan </a:t>
            </a:r>
            <a:r>
              <a:rPr lang="en-US" cap="none" sz="1400" b="0" i="0" u="none" baseline="0">
                <a:solidFill>
                  <a:srgbClr val="FFFFFF"/>
                </a:solidFill>
                <a:latin typeface="Calibri"/>
                <a:ea typeface="Calibri"/>
                <a:cs typeface="Calibri"/>
              </a:rPr>
              <a:t>Wonosobo Prembun  km 24 ,</a:t>
            </a:r>
            <a:r>
              <a:rPr lang="en-US" cap="none" sz="1400" b="0" i="0" u="none" baseline="0">
                <a:solidFill>
                  <a:srgbClr val="FFFFFF"/>
                </a:solidFill>
                <a:latin typeface="Calibri"/>
                <a:ea typeface="Calibri"/>
                <a:cs typeface="Calibri"/>
              </a:rPr>
              <a:t> Kaliwiro 56364</a:t>
            </a:r>
            <a:r>
              <a:rPr lang="en-US" cap="none" sz="1400" b="0" i="0" u="none" baseline="0">
                <a:solidFill>
                  <a:srgbClr val="FFFFFF"/>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56</xdr:row>
      <xdr:rowOff>66675</xdr:rowOff>
    </xdr:from>
    <xdr:to>
      <xdr:col>3</xdr:col>
      <xdr:colOff>161925</xdr:colOff>
      <xdr:row>60</xdr:row>
      <xdr:rowOff>142875</xdr:rowOff>
    </xdr:to>
    <xdr:pic>
      <xdr:nvPicPr>
        <xdr:cNvPr id="1" name="Picture 1" descr="SETWIL2"/>
        <xdr:cNvPicPr preferRelativeResize="1">
          <a:picLocks noChangeAspect="1"/>
        </xdr:cNvPicPr>
      </xdr:nvPicPr>
      <xdr:blipFill>
        <a:blip r:embed="rId1"/>
        <a:stretch>
          <a:fillRect/>
        </a:stretch>
      </xdr:blipFill>
      <xdr:spPr>
        <a:xfrm>
          <a:off x="180975" y="15849600"/>
          <a:ext cx="9525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339</xdr:row>
      <xdr:rowOff>9525</xdr:rowOff>
    </xdr:from>
    <xdr:to>
      <xdr:col>20</xdr:col>
      <xdr:colOff>114300</xdr:colOff>
      <xdr:row>346</xdr:row>
      <xdr:rowOff>152400</xdr:rowOff>
    </xdr:to>
    <xdr:graphicFrame>
      <xdr:nvGraphicFramePr>
        <xdr:cNvPr id="1" name="Chart 8"/>
        <xdr:cNvGraphicFramePr/>
      </xdr:nvGraphicFramePr>
      <xdr:xfrm>
        <a:off x="1533525" y="93859350"/>
        <a:ext cx="3981450" cy="1971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J11"/>
  <sheetViews>
    <sheetView zoomScale="85" zoomScaleNormal="85" zoomScalePageLayoutView="0" workbookViewId="0" topLeftCell="A1">
      <selection activeCell="B9" sqref="B9:I9"/>
    </sheetView>
  </sheetViews>
  <sheetFormatPr defaultColWidth="9.140625" defaultRowHeight="15"/>
  <cols>
    <col min="1" max="1" width="7.57421875" style="0" customWidth="1"/>
  </cols>
  <sheetData>
    <row r="2" spans="1:10" ht="20.25">
      <c r="A2" s="1" t="s">
        <v>1430</v>
      </c>
      <c r="B2" s="1"/>
      <c r="C2" s="1"/>
      <c r="D2" s="1"/>
      <c r="E2" s="1"/>
      <c r="F2" s="1"/>
      <c r="G2" s="1"/>
      <c r="H2" s="1"/>
      <c r="I2" s="1"/>
      <c r="J2" s="1"/>
    </row>
    <row r="3" spans="1:10" ht="20.25">
      <c r="A3" s="1"/>
      <c r="B3" s="1"/>
      <c r="C3" s="1"/>
      <c r="D3" s="1"/>
      <c r="E3" s="1"/>
      <c r="F3" s="1"/>
      <c r="G3" s="1"/>
      <c r="H3" s="1"/>
      <c r="I3" s="1"/>
      <c r="J3" s="1"/>
    </row>
    <row r="4" spans="1:10" ht="42" customHeight="1">
      <c r="A4" s="80">
        <v>1</v>
      </c>
      <c r="B4" s="915" t="s">
        <v>1215</v>
      </c>
      <c r="C4" s="915"/>
      <c r="D4" s="915"/>
      <c r="E4" s="915"/>
      <c r="F4" s="915"/>
      <c r="G4" s="915"/>
      <c r="H4" s="915"/>
      <c r="I4" s="915"/>
      <c r="J4" s="1"/>
    </row>
    <row r="5" spans="1:10" ht="42.75" customHeight="1">
      <c r="A5" s="80">
        <v>2</v>
      </c>
      <c r="B5" s="915" t="s">
        <v>1217</v>
      </c>
      <c r="C5" s="915"/>
      <c r="D5" s="915"/>
      <c r="E5" s="915"/>
      <c r="F5" s="915"/>
      <c r="G5" s="915"/>
      <c r="H5" s="915"/>
      <c r="I5" s="915"/>
      <c r="J5" s="1"/>
    </row>
    <row r="6" spans="1:10" ht="84.75" customHeight="1">
      <c r="A6" s="80">
        <v>3</v>
      </c>
      <c r="B6" s="915" t="s">
        <v>1218</v>
      </c>
      <c r="C6" s="915"/>
      <c r="D6" s="915"/>
      <c r="E6" s="915"/>
      <c r="F6" s="915"/>
      <c r="G6" s="915"/>
      <c r="H6" s="915"/>
      <c r="I6" s="915"/>
      <c r="J6" s="1"/>
    </row>
    <row r="7" spans="1:10" ht="63" customHeight="1">
      <c r="A7" s="80">
        <v>5</v>
      </c>
      <c r="B7" s="915" t="s">
        <v>45</v>
      </c>
      <c r="C7" s="915"/>
      <c r="D7" s="915"/>
      <c r="E7" s="915"/>
      <c r="F7" s="915"/>
      <c r="G7" s="915"/>
      <c r="H7" s="915"/>
      <c r="I7" s="915"/>
      <c r="J7" s="1"/>
    </row>
    <row r="8" spans="1:9" ht="44.25" customHeight="1">
      <c r="A8" s="80">
        <v>6</v>
      </c>
      <c r="B8" s="915" t="s">
        <v>219</v>
      </c>
      <c r="C8" s="915"/>
      <c r="D8" s="915"/>
      <c r="E8" s="915"/>
      <c r="F8" s="915"/>
      <c r="G8" s="915"/>
      <c r="H8" s="915"/>
      <c r="I8" s="915"/>
    </row>
    <row r="9" spans="1:9" ht="20.25">
      <c r="A9" s="80">
        <v>7</v>
      </c>
      <c r="B9" s="915" t="s">
        <v>220</v>
      </c>
      <c r="C9" s="915"/>
      <c r="D9" s="915"/>
      <c r="E9" s="915"/>
      <c r="F9" s="915"/>
      <c r="G9" s="915"/>
      <c r="H9" s="915"/>
      <c r="I9" s="915"/>
    </row>
    <row r="10" spans="1:9" ht="45.75" customHeight="1">
      <c r="A10" s="80">
        <v>8</v>
      </c>
      <c r="B10" s="915" t="s">
        <v>1233</v>
      </c>
      <c r="C10" s="915"/>
      <c r="D10" s="915"/>
      <c r="E10" s="915"/>
      <c r="F10" s="915"/>
      <c r="G10" s="915"/>
      <c r="H10" s="915"/>
      <c r="I10" s="915"/>
    </row>
    <row r="11" ht="20.25">
      <c r="A11" s="2"/>
    </row>
  </sheetData>
  <sheetProtection/>
  <mergeCells count="7">
    <mergeCell ref="B7:I7"/>
    <mergeCell ref="B8:I8"/>
    <mergeCell ref="B9:I9"/>
    <mergeCell ref="B10:I10"/>
    <mergeCell ref="B4:I4"/>
    <mergeCell ref="B5:I5"/>
    <mergeCell ref="B6:I6"/>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7030A0"/>
  </sheetPr>
  <dimension ref="A1:D42"/>
  <sheetViews>
    <sheetView view="pageLayout" zoomScale="106" zoomScalePageLayoutView="106" workbookViewId="0" topLeftCell="A1">
      <selection activeCell="A4" sqref="A4:C4"/>
    </sheetView>
  </sheetViews>
  <sheetFormatPr defaultColWidth="9.140625" defaultRowHeight="15"/>
  <cols>
    <col min="1" max="1" width="39.8515625" style="3" customWidth="1"/>
    <col min="2" max="2" width="21.140625" style="102" customWidth="1"/>
    <col min="3" max="3" width="19.7109375" style="102" customWidth="1"/>
    <col min="4" max="16384" width="9.140625" style="3" customWidth="1"/>
  </cols>
  <sheetData>
    <row r="1" spans="1:3" ht="20.25" customHeight="1">
      <c r="A1" s="1025" t="s">
        <v>83</v>
      </c>
      <c r="B1" s="1025"/>
      <c r="C1" s="1025"/>
    </row>
    <row r="2" spans="1:2" ht="12.75" customHeight="1">
      <c r="A2" s="4"/>
      <c r="B2" s="101"/>
    </row>
    <row r="3" spans="1:3" ht="16.5">
      <c r="A3" s="1026" t="str">
        <f>'2.ISIAN DATA SKPD'!D2</f>
        <v>Kecamatan Kaliwiro</v>
      </c>
      <c r="B3" s="1026"/>
      <c r="C3" s="1026"/>
    </row>
    <row r="4" spans="1:3" ht="16.5">
      <c r="A4" s="1027" t="s">
        <v>84</v>
      </c>
      <c r="B4" s="1027"/>
      <c r="C4" s="1027"/>
    </row>
    <row r="5" spans="1:3" ht="15.75">
      <c r="A5" s="1028" t="str">
        <f>"Per "&amp;'2.ISIAN DATA SKPD'!D8&amp;" dan "&amp;'2.ISIAN DATA SKPD'!D12&amp;""</f>
        <v>Per 31 Desember 2017 dan 2016</v>
      </c>
      <c r="B5" s="1028"/>
      <c r="C5" s="1028"/>
    </row>
    <row r="6" spans="1:3" ht="12.75" customHeight="1">
      <c r="A6" s="1029" t="s">
        <v>6</v>
      </c>
      <c r="B6" s="1029"/>
      <c r="C6" s="1029"/>
    </row>
    <row r="7" spans="1:3" ht="23.25" customHeight="1">
      <c r="A7" s="884" t="s">
        <v>9</v>
      </c>
      <c r="B7" s="885">
        <f>'2.ISIAN DATA SKPD'!D11</f>
        <v>2017</v>
      </c>
      <c r="C7" s="886">
        <f>'2.ISIAN DATA SKPD'!D12</f>
        <v>2016</v>
      </c>
    </row>
    <row r="8" spans="1:4" s="78" customFormat="1" ht="18.75" customHeight="1">
      <c r="A8" s="887" t="str">
        <f>'4.NERACA'!C5</f>
        <v>ASET</v>
      </c>
      <c r="B8" s="888">
        <f>'4.NERACA'!I5</f>
        <v>6369503512</v>
      </c>
      <c r="C8" s="889">
        <f>'4.NERACA'!D5</f>
        <v>4265046069</v>
      </c>
      <c r="D8" s="588">
        <f>C8-C34</f>
        <v>0</v>
      </c>
    </row>
    <row r="9" spans="1:3" s="78" customFormat="1" ht="18.75" customHeight="1">
      <c r="A9" s="887" t="str">
        <f>'4.NERACA'!C6</f>
        <v>ASET LANCAR</v>
      </c>
      <c r="B9" s="888">
        <f>'4.NERACA'!I6</f>
        <v>222000000</v>
      </c>
      <c r="C9" s="889">
        <f>'4.NERACA'!D6</f>
        <v>227764737</v>
      </c>
    </row>
    <row r="10" spans="1:3" s="78" customFormat="1" ht="18.75" customHeight="1">
      <c r="A10" s="890" t="str">
        <f>'4.NERACA'!C7</f>
        <v>Kas dan Setara Kas</v>
      </c>
      <c r="B10" s="888">
        <f>'4.NERACA'!I7</f>
        <v>0</v>
      </c>
      <c r="C10" s="889">
        <f>'4.NERACA'!D7</f>
        <v>5764737</v>
      </c>
    </row>
    <row r="11" spans="1:3" s="78" customFormat="1" ht="18.75" customHeight="1">
      <c r="A11" s="890" t="str">
        <f>'4.NERACA'!C14</f>
        <v>Investasi Jangka Pendek</v>
      </c>
      <c r="B11" s="888">
        <f>'4.NERACA'!I14</f>
        <v>0</v>
      </c>
      <c r="C11" s="889">
        <f>'4.NERACA'!D14</f>
        <v>0</v>
      </c>
    </row>
    <row r="12" spans="1:3" s="78" customFormat="1" ht="18.75" customHeight="1">
      <c r="A12" s="890" t="str">
        <f>'4.NERACA'!C22</f>
        <v>Piutang Pendapatan</v>
      </c>
      <c r="B12" s="888">
        <f>'4.NERACA'!I22</f>
        <v>0</v>
      </c>
      <c r="C12" s="889">
        <f>'4.NERACA'!D22</f>
        <v>0</v>
      </c>
    </row>
    <row r="13" spans="1:3" ht="16.5" customHeight="1">
      <c r="A13" s="890" t="str">
        <f>'4.NERACA'!C34</f>
        <v>Penyisihan Piutang</v>
      </c>
      <c r="B13" s="888">
        <f>'4.NERACA'!I34</f>
        <v>0</v>
      </c>
      <c r="C13" s="889">
        <f>'4.NERACA'!D34</f>
        <v>0</v>
      </c>
    </row>
    <row r="14" spans="1:3" ht="15">
      <c r="A14" s="890" t="str">
        <f>'4.NERACA'!C43</f>
        <v>Persediaan</v>
      </c>
      <c r="B14" s="888">
        <f>'4.NERACA'!I43</f>
        <v>222000000</v>
      </c>
      <c r="C14" s="889">
        <f>'4.NERACA'!D43</f>
        <v>222000000</v>
      </c>
    </row>
    <row r="15" spans="1:3" ht="15">
      <c r="A15" s="887" t="str">
        <f>'4.NERACA'!C49</f>
        <v>INVESTASI JANGKA PANJANG</v>
      </c>
      <c r="B15" s="888">
        <f>'4.NERACA'!I49</f>
        <v>0</v>
      </c>
      <c r="C15" s="889">
        <f>'4.NERACA'!D49</f>
        <v>0</v>
      </c>
    </row>
    <row r="16" spans="1:3" ht="32.25" customHeight="1">
      <c r="A16" s="891" t="str">
        <f>'4.NERACA'!C50</f>
        <v>Investasi Jangka Panjang Non Permanen</v>
      </c>
      <c r="B16" s="888">
        <f>'4.NERACA'!I50</f>
        <v>0</v>
      </c>
      <c r="C16" s="889">
        <f>'4.NERACA'!D50</f>
        <v>0</v>
      </c>
    </row>
    <row r="17" spans="1:3" ht="15">
      <c r="A17" s="890" t="str">
        <f>'4.NERACA'!C60</f>
        <v>Investasi Permanen Lainnya</v>
      </c>
      <c r="B17" s="888">
        <f>'4.NERACA'!I60</f>
        <v>0</v>
      </c>
      <c r="C17" s="889">
        <f>'4.NERACA'!D60</f>
        <v>0</v>
      </c>
    </row>
    <row r="18" spans="1:3" ht="15">
      <c r="A18" s="887" t="str">
        <f>'4.NERACA'!C61</f>
        <v>ASET TETAP</v>
      </c>
      <c r="B18" s="888">
        <f>'4.NERACA'!I61</f>
        <v>6147503512</v>
      </c>
      <c r="C18" s="889">
        <f>'4.NERACA'!D61</f>
        <v>4037281332</v>
      </c>
    </row>
    <row r="19" spans="1:3" ht="15">
      <c r="A19" s="890" t="str">
        <f>'4.NERACA'!C62</f>
        <v>Tanah</v>
      </c>
      <c r="B19" s="888">
        <f>'4.NERACA'!I62</f>
        <v>230838250</v>
      </c>
      <c r="C19" s="889">
        <f>'4.NERACA'!D62</f>
        <v>230838250</v>
      </c>
    </row>
    <row r="20" spans="1:3" ht="15">
      <c r="A20" s="890" t="str">
        <f>'4.NERACA'!C76</f>
        <v>Peralatan dan Mesin</v>
      </c>
      <c r="B20" s="888">
        <f>'4.NERACA'!I76</f>
        <v>1292546786</v>
      </c>
      <c r="C20" s="889">
        <f>'4.NERACA'!D76</f>
        <v>999487126</v>
      </c>
    </row>
    <row r="21" spans="1:3" ht="15">
      <c r="A21" s="890" t="str">
        <f>'4.NERACA'!C99</f>
        <v>Gedung dan Bangunan</v>
      </c>
      <c r="B21" s="888">
        <f>'4.NERACA'!I99</f>
        <v>2394728350</v>
      </c>
      <c r="C21" s="889">
        <f>'4.NERACA'!D99</f>
        <v>2377374350</v>
      </c>
    </row>
    <row r="22" spans="1:3" ht="15">
      <c r="A22" s="890" t="str">
        <f>'4.NERACA'!C109</f>
        <v>Jalan, Irigasi, dan Jaringan</v>
      </c>
      <c r="B22" s="888">
        <f>'4.NERACA'!I109</f>
        <v>7010631086</v>
      </c>
      <c r="C22" s="889">
        <f>'4.NERACA'!D109</f>
        <v>4885308050</v>
      </c>
    </row>
    <row r="23" spans="1:3" ht="15">
      <c r="A23" s="890" t="str">
        <f>'4.NERACA'!C120</f>
        <v>Aset Tetap Lainnya</v>
      </c>
      <c r="B23" s="888">
        <f>'4.NERACA'!I120</f>
        <v>0</v>
      </c>
      <c r="C23" s="889">
        <f>'4.NERACA'!D120</f>
        <v>0</v>
      </c>
    </row>
    <row r="24" spans="1:3" ht="15">
      <c r="A24" s="890" t="str">
        <f>'4.NERACA'!C129</f>
        <v>Konstruksi Dalam Pengerjaan</v>
      </c>
      <c r="B24" s="888">
        <f>'4.NERACA'!I129</f>
        <v>0</v>
      </c>
      <c r="C24" s="889">
        <f>'4.NERACA'!D129</f>
        <v>0</v>
      </c>
    </row>
    <row r="25" spans="1:3" ht="15">
      <c r="A25" s="890" t="str">
        <f>'4.NERACA'!C131</f>
        <v>Akumulasi Penyusutan Aset Tetap</v>
      </c>
      <c r="B25" s="888">
        <f>'4.NERACA'!I131</f>
        <v>-4781240960</v>
      </c>
      <c r="C25" s="889">
        <f>'4.NERACA'!D131</f>
        <v>-4455726444</v>
      </c>
    </row>
    <row r="26" spans="1:3" ht="15">
      <c r="A26" s="887" t="str">
        <f>'4.NERACA'!C138</f>
        <v>ASET LAINNYA</v>
      </c>
      <c r="B26" s="888">
        <f>'4.NERACA'!I138</f>
        <v>0</v>
      </c>
      <c r="C26" s="889">
        <f>'4.NERACA'!D138</f>
        <v>0</v>
      </c>
    </row>
    <row r="27" spans="1:3" ht="15">
      <c r="A27" s="890" t="str">
        <f>'4.NERACA'!C151</f>
        <v>Aset Tidak Berwujud Lainnya</v>
      </c>
      <c r="B27" s="888">
        <f>'4.NERACA'!I151</f>
        <v>0</v>
      </c>
      <c r="C27" s="889">
        <f>'4.NERACA'!D151</f>
        <v>0</v>
      </c>
    </row>
    <row r="28" spans="1:3" ht="15">
      <c r="A28" s="890" t="str">
        <f>'4.NERACA'!C153</f>
        <v>Aset Lain-lain</v>
      </c>
      <c r="B28" s="888">
        <f>'4.NERACA'!I153</f>
        <v>0</v>
      </c>
      <c r="C28" s="889">
        <f>'4.NERACA'!D153</f>
        <v>0</v>
      </c>
    </row>
    <row r="29" spans="1:3" ht="15">
      <c r="A29" s="890" t="s">
        <v>1641</v>
      </c>
      <c r="B29" s="888">
        <f>'4.NERACA'!I152</f>
        <v>0</v>
      </c>
      <c r="C29" s="889">
        <f>'4.NERACA'!D152</f>
        <v>0</v>
      </c>
    </row>
    <row r="30" spans="1:3" ht="15">
      <c r="A30" s="887" t="str">
        <f>'4.NERACA'!C155</f>
        <v>KEWAJIBAN</v>
      </c>
      <c r="B30" s="888">
        <f>'4.NERACA'!I155</f>
        <v>0</v>
      </c>
      <c r="C30" s="889">
        <f>'4.NERACA'!D155</f>
        <v>3324557</v>
      </c>
    </row>
    <row r="31" spans="1:3" ht="15">
      <c r="A31" s="890" t="str">
        <f>'4.NERACA'!C156</f>
        <v>Kewajiban Jangka Pendek</v>
      </c>
      <c r="B31" s="888">
        <f>'4.NERACA'!I156</f>
        <v>0</v>
      </c>
      <c r="C31" s="889">
        <f>'4.NERACA'!D156</f>
        <v>3324557</v>
      </c>
    </row>
    <row r="32" spans="1:3" ht="15">
      <c r="A32" s="890" t="str">
        <f>'4.NERACA'!C197</f>
        <v>Kewajiban Jangka Panjang</v>
      </c>
      <c r="B32" s="888">
        <f>'4.NERACA'!I197</f>
        <v>0</v>
      </c>
      <c r="C32" s="889">
        <f>'4.NERACA'!D197</f>
        <v>0</v>
      </c>
    </row>
    <row r="33" spans="1:3" ht="15">
      <c r="A33" s="887" t="str">
        <f>'4.NERACA'!C207</f>
        <v>EKUITAS</v>
      </c>
      <c r="B33" s="888">
        <f>'4.NERACA'!I207</f>
        <v>6369503512</v>
      </c>
      <c r="C33" s="889">
        <f>'4.NERACA'!D207</f>
        <v>4261721512</v>
      </c>
    </row>
    <row r="34" spans="1:3" ht="15">
      <c r="A34" s="887" t="str">
        <f>'4.NERACA'!C211</f>
        <v>TOTAL KEWAJIBAN DAN EKUITAS</v>
      </c>
      <c r="B34" s="888">
        <f>'4.NERACA'!I211</f>
        <v>6369503512</v>
      </c>
      <c r="C34" s="889">
        <f>'4.NERACA'!D211</f>
        <v>4265046069</v>
      </c>
    </row>
    <row r="36" spans="2:4" ht="15">
      <c r="B36" s="1022" t="str">
        <f>"Wonosobo, "&amp;'2.ISIAN DATA SKPD'!D19&amp;""</f>
        <v>Wonosobo, 15 Februari 2018</v>
      </c>
      <c r="C36" s="1022"/>
      <c r="D36" s="98"/>
    </row>
    <row r="37" spans="2:3" ht="15">
      <c r="B37" s="1023" t="str">
        <f>"Kepala "&amp;'2.ISIAN DATA SKPD'!D2&amp;","</f>
        <v>Kepala Kecamatan Kaliwiro,</v>
      </c>
      <c r="C37" s="1023"/>
    </row>
    <row r="38" spans="2:3" ht="15">
      <c r="B38" s="119"/>
      <c r="C38" s="119"/>
    </row>
    <row r="41" spans="2:3" ht="15">
      <c r="B41" s="1024" t="str">
        <f>'2.ISIAN DATA SKPD'!D13</f>
        <v>Hemi widiyanto, S.Sos,MM</v>
      </c>
      <c r="C41" s="1024"/>
    </row>
    <row r="42" spans="2:3" ht="15">
      <c r="B42" s="1023" t="str">
        <f>"NIP. "&amp;'2.ISIAN DATA SKPD'!D14&amp;""</f>
        <v>NIP. 196010221986071001</v>
      </c>
      <c r="C42" s="1023"/>
    </row>
  </sheetData>
  <sheetProtection/>
  <mergeCells count="9">
    <mergeCell ref="B36:C36"/>
    <mergeCell ref="B37:C37"/>
    <mergeCell ref="B41:C41"/>
    <mergeCell ref="B42:C42"/>
    <mergeCell ref="A1:C1"/>
    <mergeCell ref="A3:C3"/>
    <mergeCell ref="A4:C4"/>
    <mergeCell ref="A5:C5"/>
    <mergeCell ref="A6:C6"/>
  </mergeCells>
  <printOptions/>
  <pageMargins left="1.1023622047244095" right="0.6299212598425197" top="0.7480314960629921" bottom="0.7480314960629921" header="0.31496062992125984" footer="0.31496062992125984"/>
  <pageSetup firstPageNumber="7" useFirstPageNumber="1" horizontalDpi="300" verticalDpi="300" orientation="portrait" paperSize="9" r:id="rId1"/>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sheetPr>
    <tabColor rgb="FF7030A0"/>
  </sheetPr>
  <dimension ref="A1:E47"/>
  <sheetViews>
    <sheetView view="pageLayout" workbookViewId="0" topLeftCell="A4">
      <selection activeCell="A6" sqref="A6:C6"/>
    </sheetView>
  </sheetViews>
  <sheetFormatPr defaultColWidth="9.140625" defaultRowHeight="15"/>
  <cols>
    <col min="1" max="1" width="44.00390625" style="94" customWidth="1"/>
    <col min="2" max="2" width="20.140625" style="102" customWidth="1"/>
    <col min="3" max="3" width="18.7109375" style="102" customWidth="1"/>
    <col min="4" max="16384" width="9.140625" style="3" customWidth="1"/>
  </cols>
  <sheetData>
    <row r="1" spans="1:3" ht="20.25" customHeight="1">
      <c r="A1" s="1025" t="s">
        <v>94</v>
      </c>
      <c r="B1" s="1025"/>
      <c r="C1" s="1025"/>
    </row>
    <row r="2" spans="1:2" ht="9.75" customHeight="1">
      <c r="A2" s="93"/>
      <c r="B2" s="101"/>
    </row>
    <row r="3" spans="1:3" s="78" customFormat="1" ht="16.5">
      <c r="A3" s="1030" t="str">
        <f>'2.ISIAN DATA SKPD'!D2</f>
        <v>Kecamatan Kaliwiro</v>
      </c>
      <c r="B3" s="1030"/>
      <c r="C3" s="1030"/>
    </row>
    <row r="4" spans="1:3" s="78" customFormat="1" ht="16.5">
      <c r="A4" s="1031" t="s">
        <v>50</v>
      </c>
      <c r="B4" s="1031"/>
      <c r="C4" s="1031"/>
    </row>
    <row r="5" spans="1:5" s="78" customFormat="1" ht="16.5">
      <c r="A5" s="1032" t="str">
        <f>"Untuk Tahun Yang Berakhir Sampai Dengan "&amp;'2.ISIAN DATA SKPD'!D8&amp;" dan "&amp;'2.ISIAN DATA SKPD'!D12&amp;""</f>
        <v>Untuk Tahun Yang Berakhir Sampai Dengan 31 Desember 2017 dan 2016</v>
      </c>
      <c r="B5" s="1032"/>
      <c r="C5" s="1032"/>
      <c r="D5" s="76"/>
      <c r="E5" s="76"/>
    </row>
    <row r="6" spans="1:3" s="78" customFormat="1" ht="15.75" thickBot="1">
      <c r="A6" s="1033" t="s">
        <v>6</v>
      </c>
      <c r="B6" s="1033"/>
      <c r="C6" s="1033"/>
    </row>
    <row r="7" spans="1:3" s="78" customFormat="1" ht="21.75" customHeight="1" thickTop="1">
      <c r="A7" s="892" t="s">
        <v>9</v>
      </c>
      <c r="B7" s="893">
        <f>'2.ISIAN DATA SKPD'!D11</f>
        <v>2017</v>
      </c>
      <c r="C7" s="894">
        <f>'2.ISIAN DATA SKPD'!D12</f>
        <v>2016</v>
      </c>
    </row>
    <row r="8" spans="1:3" s="78" customFormat="1" ht="21.75" customHeight="1">
      <c r="A8" s="895" t="s">
        <v>39</v>
      </c>
      <c r="B8" s="885"/>
      <c r="C8" s="896"/>
    </row>
    <row r="9" spans="1:3" s="78" customFormat="1" ht="12.75" customHeight="1">
      <c r="A9" s="897" t="str">
        <f>'5.LO'!D6</f>
        <v>PENDAPATAN</v>
      </c>
      <c r="B9" s="898">
        <f>'5.LO'!E6</f>
        <v>0</v>
      </c>
      <c r="C9" s="899">
        <f>'5.LO'!F6</f>
        <v>0</v>
      </c>
    </row>
    <row r="10" spans="1:3" s="78" customFormat="1" ht="12.75" customHeight="1">
      <c r="A10" s="897" t="str">
        <f>'5.LO'!D7</f>
        <v>PENDAPATAN ASLI DAERAH</v>
      </c>
      <c r="B10" s="898">
        <f>'5.LO'!E7</f>
        <v>0</v>
      </c>
      <c r="C10" s="899">
        <f>'5.LO'!F7</f>
        <v>0</v>
      </c>
    </row>
    <row r="11" spans="1:3" s="78" customFormat="1" ht="12.75" customHeight="1">
      <c r="A11" s="890" t="str">
        <f>'5.LO'!D8</f>
        <v>Pendapatan Pajak Daerah</v>
      </c>
      <c r="B11" s="900">
        <f>'5.LO'!E8</f>
        <v>0</v>
      </c>
      <c r="C11" s="901">
        <f>'5.LO'!F8</f>
        <v>0</v>
      </c>
    </row>
    <row r="12" spans="1:3" s="78" customFormat="1" ht="12.75" customHeight="1">
      <c r="A12" s="890" t="str">
        <f>'5.LO'!D19</f>
        <v>Pendapatan Retribusi Daerah</v>
      </c>
      <c r="B12" s="900">
        <f>'5.LO'!E19</f>
        <v>0</v>
      </c>
      <c r="C12" s="901">
        <f>'5.LO'!F19</f>
        <v>0</v>
      </c>
    </row>
    <row r="13" spans="1:3" ht="30.75" customHeight="1">
      <c r="A13" s="891" t="str">
        <f>'5.LO'!D40</f>
        <v>Pendapatan Hasil Pengelolaan Kekayaan Daerah yang Dipisahkan</v>
      </c>
      <c r="B13" s="900">
        <f>'5.LO'!E40</f>
        <v>0</v>
      </c>
      <c r="C13" s="901">
        <f>'5.LO'!F40</f>
        <v>0</v>
      </c>
    </row>
    <row r="14" spans="1:3" ht="12.75" customHeight="1">
      <c r="A14" s="890" t="str">
        <f>'5.LO'!D51</f>
        <v>Pendapatan Lain-Lian PAD yang Sah</v>
      </c>
      <c r="B14" s="900">
        <f>'5.LO'!E51</f>
        <v>0</v>
      </c>
      <c r="C14" s="901">
        <f>'5.LO'!F51</f>
        <v>0</v>
      </c>
    </row>
    <row r="15" spans="1:3" ht="12.75" customHeight="1">
      <c r="A15" s="897" t="str">
        <f>'5.LO'!D85</f>
        <v>PENDAPATAN TRANSFER</v>
      </c>
      <c r="B15" s="898">
        <f>'5.LO'!E85</f>
        <v>0</v>
      </c>
      <c r="C15" s="899">
        <f>'5.LO'!F85</f>
        <v>0</v>
      </c>
    </row>
    <row r="16" spans="1:3" ht="15">
      <c r="A16" s="890" t="str">
        <f>'5.LO'!D86</f>
        <v>Trasfer pemerintah Pusat - Dana Perimbangan</v>
      </c>
      <c r="B16" s="900">
        <f>'5.LO'!E86</f>
        <v>0</v>
      </c>
      <c r="C16" s="901">
        <f>'5.LO'!F86</f>
        <v>0</v>
      </c>
    </row>
    <row r="17" spans="1:3" ht="15">
      <c r="A17" s="890" t="str">
        <f>'5.LO'!D121</f>
        <v>transfer Pemerintah Pusat Lainnya</v>
      </c>
      <c r="B17" s="900">
        <f>'5.LO'!E121</f>
        <v>0</v>
      </c>
      <c r="C17" s="901">
        <f>'5.LO'!F121</f>
        <v>0</v>
      </c>
    </row>
    <row r="18" spans="1:3" ht="15">
      <c r="A18" s="890" t="str">
        <f>'5.LO'!D124</f>
        <v>Transfer Pemerintah Provinsi</v>
      </c>
      <c r="B18" s="900">
        <f>'5.LO'!E124</f>
        <v>0</v>
      </c>
      <c r="C18" s="901">
        <f>'5.LO'!F124</f>
        <v>0</v>
      </c>
    </row>
    <row r="19" spans="1:3" ht="30">
      <c r="A19" s="902" t="str">
        <f>'5.LO'!D134</f>
        <v>LAIN-LAIN PENDAPATAN DAERAH YANG SAH</v>
      </c>
      <c r="B19" s="898">
        <f>'5.LO'!E134</f>
        <v>0</v>
      </c>
      <c r="C19" s="899">
        <f>'5.LO'!F134</f>
        <v>0</v>
      </c>
    </row>
    <row r="20" spans="1:3" ht="12.75" customHeight="1">
      <c r="A20" s="890" t="str">
        <f>'5.LO'!D135</f>
        <v>Pendapatan Hibah</v>
      </c>
      <c r="B20" s="900">
        <f>'5.LO'!E135</f>
        <v>0</v>
      </c>
      <c r="C20" s="901">
        <f>'5.LO'!F135</f>
        <v>0</v>
      </c>
    </row>
    <row r="21" spans="1:3" ht="12.75" customHeight="1">
      <c r="A21" s="890" t="str">
        <f>'5.LO'!D137</f>
        <v>Pendapatan Dana Darurat</v>
      </c>
      <c r="B21" s="900">
        <f>'5.LO'!E137</f>
        <v>0</v>
      </c>
      <c r="C21" s="901">
        <f>'5.LO'!F137</f>
        <v>0</v>
      </c>
    </row>
    <row r="22" spans="1:3" ht="12.75" customHeight="1">
      <c r="A22" s="890" t="str">
        <f>'5.LO'!D138</f>
        <v>Pendapatan Lainnya</v>
      </c>
      <c r="B22" s="900">
        <f>'5.LO'!E138</f>
        <v>0</v>
      </c>
      <c r="C22" s="901">
        <f>'5.LO'!F138</f>
        <v>0</v>
      </c>
    </row>
    <row r="23" spans="1:3" ht="12.75" customHeight="1">
      <c r="A23" s="897" t="str">
        <f>'5.LO'!D154</f>
        <v>BEBAN</v>
      </c>
      <c r="B23" s="898">
        <f>'5.LO'!E154</f>
        <v>5195079483</v>
      </c>
      <c r="C23" s="899">
        <f>'5.LO'!F154</f>
        <v>0</v>
      </c>
    </row>
    <row r="24" spans="1:3" ht="12.75" customHeight="1">
      <c r="A24" s="890" t="str">
        <f>'5.LO'!D155</f>
        <v>Beban Pegawai</v>
      </c>
      <c r="B24" s="900">
        <f>'5.LO'!E155</f>
        <v>2374611800</v>
      </c>
      <c r="C24" s="901">
        <f>'5.LO'!F155</f>
        <v>0</v>
      </c>
    </row>
    <row r="25" spans="1:3" ht="12.75" customHeight="1">
      <c r="A25" s="890" t="str">
        <f>'5.LO'!D221</f>
        <v>Beban Persediaan</v>
      </c>
      <c r="B25" s="900">
        <f>'5.LO'!E221</f>
        <v>31037425</v>
      </c>
      <c r="C25" s="901">
        <f>'5.LO'!F221</f>
        <v>0</v>
      </c>
    </row>
    <row r="26" spans="1:3" ht="12.75" customHeight="1">
      <c r="A26" s="890" t="str">
        <f>'5.LO'!D254</f>
        <v>Beban Jasa</v>
      </c>
      <c r="B26" s="900">
        <f>'5.LO'!E254</f>
        <v>255431634</v>
      </c>
      <c r="C26" s="901">
        <f>'5.LO'!F254</f>
        <v>0</v>
      </c>
    </row>
    <row r="27" spans="1:3" ht="12.75" customHeight="1">
      <c r="A27" s="890" t="str">
        <f>'5.LO'!D362</f>
        <v>Beban Pemeliharaan</v>
      </c>
      <c r="B27" s="900">
        <f>'5.LO'!E362</f>
        <v>26517000</v>
      </c>
      <c r="C27" s="901">
        <f>'5.LO'!F362</f>
        <v>0</v>
      </c>
    </row>
    <row r="28" spans="1:3" ht="12.75" customHeight="1">
      <c r="A28" s="890" t="str">
        <f>'5.LO'!D375</f>
        <v>Beban Perjalanan Dinas</v>
      </c>
      <c r="B28" s="900">
        <f>'5.LO'!E375</f>
        <v>6860000</v>
      </c>
      <c r="C28" s="901">
        <f>'5.LO'!F375</f>
        <v>0</v>
      </c>
    </row>
    <row r="29" spans="1:3" ht="12.75" customHeight="1">
      <c r="A29" s="890" t="str">
        <f>'5.LO'!D382</f>
        <v>Beban Bunga</v>
      </c>
      <c r="B29" s="900">
        <f>'5.LO'!E382</f>
        <v>0</v>
      </c>
      <c r="C29" s="901">
        <f>'5.LO'!F382</f>
        <v>0</v>
      </c>
    </row>
    <row r="30" spans="1:3" ht="12.75" customHeight="1">
      <c r="A30" s="890" t="str">
        <f>'5.LO'!D383</f>
        <v>Beban Subsidi</v>
      </c>
      <c r="B30" s="900">
        <f>'5.LO'!E383</f>
        <v>0</v>
      </c>
      <c r="C30" s="901">
        <f>'5.LO'!F383</f>
        <v>0</v>
      </c>
    </row>
    <row r="31" spans="1:3" ht="12.75" customHeight="1">
      <c r="A31" s="890" t="str">
        <f>'5.LO'!D384</f>
        <v>Beban Hibah</v>
      </c>
      <c r="B31" s="900">
        <f>'5.LO'!E384</f>
        <v>2138640000</v>
      </c>
      <c r="C31" s="901">
        <f>'5.LO'!F384</f>
        <v>0</v>
      </c>
    </row>
    <row r="32" spans="1:3" ht="12.75" customHeight="1">
      <c r="A32" s="890" t="str">
        <f>'5.LO'!D399</f>
        <v>Beban Bantuan Sosial</v>
      </c>
      <c r="B32" s="900">
        <f>'5.LO'!E399</f>
        <v>0</v>
      </c>
      <c r="C32" s="901">
        <f>'5.LO'!F399</f>
        <v>0</v>
      </c>
    </row>
    <row r="33" spans="1:3" ht="12.75" customHeight="1">
      <c r="A33" s="890" t="str">
        <f>'5.LO'!D405</f>
        <v>Beban Penyusutan dan amortisasi</v>
      </c>
      <c r="B33" s="900">
        <f>'5.LO'!E405</f>
        <v>361981624</v>
      </c>
      <c r="C33" s="901">
        <f>'5.LO'!F405</f>
        <v>0</v>
      </c>
    </row>
    <row r="34" spans="1:3" ht="12.75" customHeight="1">
      <c r="A34" s="890" t="str">
        <f>'5.LO'!D410</f>
        <v>Beban Transfer</v>
      </c>
      <c r="B34" s="900">
        <f>'5.LO'!E410</f>
        <v>0</v>
      </c>
      <c r="C34" s="901">
        <f>'5.LO'!F410</f>
        <v>0</v>
      </c>
    </row>
    <row r="35" spans="1:3" ht="12.75" customHeight="1">
      <c r="A35" s="890" t="str">
        <f>'5.LO'!D431</f>
        <v>Beban Lain-lain</v>
      </c>
      <c r="B35" s="900">
        <f>'5.LO'!E431</f>
        <v>0</v>
      </c>
      <c r="C35" s="901">
        <f>'5.LO'!F431</f>
        <v>0</v>
      </c>
    </row>
    <row r="36" spans="1:3" ht="12.75" customHeight="1">
      <c r="A36" s="887" t="str">
        <f>'5.LO'!D435</f>
        <v>SURPLUS/DEFISIT-LO  DARI OPERASI</v>
      </c>
      <c r="B36" s="888">
        <f>'5.LO'!E435</f>
        <v>-5195079483</v>
      </c>
      <c r="C36" s="899">
        <f>'5.LO'!F435</f>
        <v>0</v>
      </c>
    </row>
    <row r="37" spans="1:3" ht="30">
      <c r="A37" s="903" t="s">
        <v>1643</v>
      </c>
      <c r="B37" s="898">
        <f>'5.LO'!E436</f>
        <v>0</v>
      </c>
      <c r="C37" s="899">
        <f>'5.LO'!F436</f>
        <v>0</v>
      </c>
    </row>
    <row r="38" spans="1:3" ht="12.75" customHeight="1">
      <c r="A38" s="904" t="s">
        <v>102</v>
      </c>
      <c r="B38" s="898">
        <f>'5.LO'!E442</f>
        <v>0</v>
      </c>
      <c r="C38" s="899">
        <f>'5.LO'!F442</f>
        <v>0</v>
      </c>
    </row>
    <row r="39" spans="1:3" ht="12.75" customHeight="1">
      <c r="A39" s="905" t="s">
        <v>1644</v>
      </c>
      <c r="B39" s="888">
        <f>B36+B37+B38</f>
        <v>-5195079483</v>
      </c>
      <c r="C39" s="898">
        <f>C36+C37+C38</f>
        <v>0</v>
      </c>
    </row>
    <row r="41" spans="2:3" ht="15">
      <c r="B41" s="1022" t="str">
        <f>"Wonosobo, "&amp;'2.ISIAN DATA SKPD'!D19&amp;""</f>
        <v>Wonosobo, 15 Februari 2018</v>
      </c>
      <c r="C41" s="1022"/>
    </row>
    <row r="42" spans="2:3" ht="15">
      <c r="B42" s="1023" t="str">
        <f>"Kepala "&amp;'2.ISIAN DATA SKPD'!D2&amp;","</f>
        <v>Kepala Kecamatan Kaliwiro,</v>
      </c>
      <c r="C42" s="1023"/>
    </row>
    <row r="46" spans="2:3" ht="15">
      <c r="B46" s="1024" t="str">
        <f>'2.ISIAN DATA SKPD'!D13</f>
        <v>Hemi widiyanto, S.Sos,MM</v>
      </c>
      <c r="C46" s="1024"/>
    </row>
    <row r="47" spans="2:3" ht="15">
      <c r="B47" s="1023" t="str">
        <f>"NIP. "&amp;'2.ISIAN DATA SKPD'!D14&amp;""</f>
        <v>NIP. 196010221986071001</v>
      </c>
      <c r="C47" s="1023"/>
    </row>
  </sheetData>
  <sheetProtection/>
  <mergeCells count="9">
    <mergeCell ref="B41:C41"/>
    <mergeCell ref="B46:C46"/>
    <mergeCell ref="B42:C42"/>
    <mergeCell ref="B47:C47"/>
    <mergeCell ref="A1:C1"/>
    <mergeCell ref="A3:C3"/>
    <mergeCell ref="A4:C4"/>
    <mergeCell ref="A5:C5"/>
    <mergeCell ref="A6:C6"/>
  </mergeCells>
  <printOptions/>
  <pageMargins left="1.1023622047244095" right="0.6299212598425197" top="0.7480314960629921" bottom="0.7480314960629921" header="0.31496062992125984" footer="0.31496062992125984"/>
  <pageSetup firstPageNumber="9" useFirstPageNumber="1" horizontalDpi="300" verticalDpi="300" orientation="portrait" paperSize="9" r:id="rId1"/>
  <headerFooter>
    <oddFooter>&amp;R&amp;P</oddFooter>
  </headerFooter>
</worksheet>
</file>

<file path=xl/worksheets/sheet12.xml><?xml version="1.0" encoding="utf-8"?>
<worksheet xmlns="http://schemas.openxmlformats.org/spreadsheetml/2006/main" xmlns:r="http://schemas.openxmlformats.org/officeDocument/2006/relationships">
  <sheetPr>
    <tabColor rgb="FF7030A0"/>
  </sheetPr>
  <dimension ref="A1:E33"/>
  <sheetViews>
    <sheetView view="pageLayout" zoomScale="80" zoomScalePageLayoutView="80" workbookViewId="0" topLeftCell="A1">
      <selection activeCell="A5" sqref="A5:C5"/>
    </sheetView>
  </sheetViews>
  <sheetFormatPr defaultColWidth="9.140625" defaultRowHeight="15"/>
  <cols>
    <col min="1" max="1" width="43.140625" style="122" customWidth="1"/>
    <col min="2" max="3" width="18.7109375" style="433" customWidth="1"/>
    <col min="4" max="16384" width="9.140625" style="122" customWidth="1"/>
  </cols>
  <sheetData>
    <row r="1" spans="1:3" ht="20.25" customHeight="1">
      <c r="A1" s="1036" t="s">
        <v>104</v>
      </c>
      <c r="B1" s="1036"/>
      <c r="C1" s="1036"/>
    </row>
    <row r="2" spans="1:2" ht="12.75" customHeight="1">
      <c r="A2" s="431"/>
      <c r="B2" s="432"/>
    </row>
    <row r="3" spans="1:3" ht="15.75">
      <c r="A3" s="1037" t="str">
        <f>'2.ISIAN DATA SKPD'!D2</f>
        <v>Kecamatan Kaliwiro</v>
      </c>
      <c r="B3" s="1037"/>
      <c r="C3" s="1037"/>
    </row>
    <row r="4" spans="1:3" ht="15.75">
      <c r="A4" s="1038" t="s">
        <v>53</v>
      </c>
      <c r="B4" s="1038"/>
      <c r="C4" s="1038"/>
    </row>
    <row r="5" spans="1:5" ht="18.75" customHeight="1">
      <c r="A5" s="1039" t="str">
        <f>"Untuk Tahun Yang Berakhir Sampai Dengan "&amp;'2.ISIAN DATA SKPD'!D8&amp;" dan "&amp;'2.ISIAN DATA SKPD'!D12&amp;""</f>
        <v>Untuk Tahun Yang Berakhir Sampai Dengan 31 Desember 2017 dan 2016</v>
      </c>
      <c r="B5" s="1039"/>
      <c r="C5" s="1039"/>
      <c r="D5" s="105"/>
      <c r="E5" s="105"/>
    </row>
    <row r="6" spans="1:2" ht="15">
      <c r="A6" s="434"/>
      <c r="B6" s="435"/>
    </row>
    <row r="7" spans="1:3" ht="15">
      <c r="A7" s="1040" t="s">
        <v>6</v>
      </c>
      <c r="B7" s="1040"/>
      <c r="C7" s="1040"/>
    </row>
    <row r="8" spans="1:3" ht="21.75" customHeight="1">
      <c r="A8" s="906" t="s">
        <v>9</v>
      </c>
      <c r="B8" s="907">
        <f>'2.ISIAN DATA SKPD'!D11</f>
        <v>2017</v>
      </c>
      <c r="C8" s="908">
        <f>'2.ISIAN DATA SKPD'!D12</f>
        <v>2016</v>
      </c>
    </row>
    <row r="9" spans="1:3" s="125" customFormat="1" ht="23.25" customHeight="1">
      <c r="A9" s="909" t="s">
        <v>105</v>
      </c>
      <c r="B9" s="910">
        <f>'6.LPE'!C9</f>
        <v>4261721512</v>
      </c>
      <c r="C9" s="910">
        <f>'6.LPE'!D9</f>
        <v>3110308920</v>
      </c>
    </row>
    <row r="10" spans="1:3" s="125" customFormat="1" ht="23.25" customHeight="1">
      <c r="A10" s="909" t="s">
        <v>1202</v>
      </c>
      <c r="B10" s="910">
        <f>'6.LPE'!C10</f>
        <v>-3469441315</v>
      </c>
      <c r="C10" s="910">
        <f>'6.LPE'!D10</f>
        <v>-5195079483</v>
      </c>
    </row>
    <row r="11" spans="1:3" s="125" customFormat="1" ht="23.25" customHeight="1">
      <c r="A11" s="909" t="s">
        <v>1203</v>
      </c>
      <c r="B11" s="910">
        <f>'6.LPE'!C11</f>
        <v>9328342379</v>
      </c>
      <c r="C11" s="910">
        <f>'6.LPE'!D11</f>
        <v>0</v>
      </c>
    </row>
    <row r="12" spans="1:3" s="125" customFormat="1" ht="48" customHeight="1">
      <c r="A12" s="911" t="s">
        <v>1420</v>
      </c>
      <c r="B12" s="910">
        <f>'6.LPE'!C12</f>
        <v>-3751119064</v>
      </c>
      <c r="C12" s="910">
        <f>'6.LPE'!D12</f>
        <v>6346492075</v>
      </c>
    </row>
    <row r="13" spans="1:3" s="125" customFormat="1" ht="23.25" customHeight="1">
      <c r="A13" s="912" t="str">
        <f>'6.LPE'!B13</f>
        <v>       Koreksi Persediaan</v>
      </c>
      <c r="B13" s="910">
        <f>'6.LPE'!C13</f>
        <v>0</v>
      </c>
      <c r="C13" s="910">
        <f>'6.LPE'!D13</f>
        <v>222000000</v>
      </c>
    </row>
    <row r="14" spans="1:3" s="125" customFormat="1" ht="23.25" customHeight="1">
      <c r="A14" s="912" t="str">
        <f>'6.LPE'!B14</f>
        <v>       Kapitalisasi aset tetap</v>
      </c>
      <c r="B14" s="910">
        <f>'6.LPE'!C14</f>
        <v>0</v>
      </c>
      <c r="C14" s="910">
        <f>'6.LPE'!D14</f>
        <v>0</v>
      </c>
    </row>
    <row r="15" spans="1:3" s="125" customFormat="1" ht="23.25" customHeight="1">
      <c r="A15" s="912" t="str">
        <f>'6.LPE'!B15</f>
        <v>       Serah terima skpd</v>
      </c>
      <c r="B15" s="910">
        <f>'6.LPE'!C15</f>
        <v>0</v>
      </c>
      <c r="C15" s="910">
        <f>'6.LPE'!D15</f>
        <v>0</v>
      </c>
    </row>
    <row r="16" spans="1:3" s="125" customFormat="1" ht="23.25" customHeight="1">
      <c r="A16" s="912" t="str">
        <f>'6.LPE'!B16</f>
        <v>       Mutasi AA 9930 NF dari BPPKAD</v>
      </c>
      <c r="B16" s="910">
        <f>'6.LPE'!C16</f>
        <v>17000000</v>
      </c>
      <c r="C16" s="910">
        <f>'6.LPE'!D16</f>
        <v>0</v>
      </c>
    </row>
    <row r="17" spans="1:3" s="125" customFormat="1" ht="23.25" customHeight="1">
      <c r="A17" s="912" t="str">
        <f>'6.LPE'!B17</f>
        <v>       Mutasi AA 112 F dari BPPKAD</v>
      </c>
      <c r="B17" s="910">
        <f>'6.LPE'!C17</f>
        <v>173227500</v>
      </c>
      <c r="C17" s="910">
        <f>'6.LPE'!D17</f>
        <v>0</v>
      </c>
    </row>
    <row r="18" spans="1:3" s="125" customFormat="1" ht="23.25" customHeight="1">
      <c r="A18" s="912" t="str">
        <f>'6.LPE'!B18</f>
        <v>       Mutasi AA 53 F dari BAPPEDA</v>
      </c>
      <c r="B18" s="910">
        <f>'6.LPE'!C18</f>
        <v>34000000</v>
      </c>
      <c r="C18" s="910">
        <f>'6.LPE'!D18</f>
        <v>0</v>
      </c>
    </row>
    <row r="19" spans="1:3" s="125" customFormat="1" ht="23.25" customHeight="1">
      <c r="A19" s="912" t="str">
        <f>'6.LPE'!B19</f>
        <v>       Akm Peny AA 53 F </v>
      </c>
      <c r="B19" s="910">
        <f>'6.LPE'!C19</f>
        <v>-34000000</v>
      </c>
      <c r="C19" s="910">
        <f>'6.LPE'!D19</f>
        <v>0</v>
      </c>
    </row>
    <row r="20" spans="1:3" s="125" customFormat="1" ht="23.25" customHeight="1">
      <c r="A20" s="912" t="str">
        <f>'6.LPE'!B20</f>
        <v>       Mutasi AA 112 F/AA9502UF ke DPU PR</v>
      </c>
      <c r="B20" s="910">
        <f>'6.LPE'!C20</f>
        <v>-104100000</v>
      </c>
      <c r="C20" s="910">
        <f>'6.LPE'!D20</f>
        <v>0</v>
      </c>
    </row>
    <row r="21" spans="1:3" s="125" customFormat="1" ht="23.25" customHeight="1">
      <c r="A21" s="912" t="str">
        <f>'6.LPE'!B21</f>
        <v>       Akm Peny AA 112 F/AA9502UF </v>
      </c>
      <c r="B21" s="910">
        <f>'6.LPE'!C21</f>
        <v>104100000</v>
      </c>
      <c r="C21" s="910">
        <f>'6.LPE'!D21</f>
        <v>0</v>
      </c>
    </row>
    <row r="22" spans="1:3" s="125" customFormat="1" ht="23.25" customHeight="1">
      <c r="A22" s="912" t="str">
        <f>'6.LPE'!B22</f>
        <v>       Mutasi ke DPU PR</v>
      </c>
      <c r="B22" s="910">
        <f>'6.LPE'!C22</f>
        <v>-3941346564</v>
      </c>
      <c r="C22" s="910">
        <f>'6.LPE'!D22</f>
        <v>0</v>
      </c>
    </row>
    <row r="23" spans="1:3" s="125" customFormat="1" ht="23.25" customHeight="1">
      <c r="A23" s="912" t="str">
        <f>'6.LPE'!B23</f>
        <v>       Lain-lain</v>
      </c>
      <c r="B23" s="910">
        <f>'6.LPE'!C23</f>
        <v>0</v>
      </c>
      <c r="C23" s="910">
        <f>'6.LPE'!D23</f>
        <v>6124492075</v>
      </c>
    </row>
    <row r="24" spans="1:3" s="125" customFormat="1" ht="23.25" customHeight="1">
      <c r="A24" s="912"/>
      <c r="B24" s="910"/>
      <c r="C24" s="910"/>
    </row>
    <row r="25" spans="1:3" s="125" customFormat="1" ht="23.25" customHeight="1">
      <c r="A25" s="913" t="s">
        <v>107</v>
      </c>
      <c r="B25" s="914">
        <f>'6.LPE'!C24</f>
        <v>6369503512</v>
      </c>
      <c r="C25" s="914">
        <f>'6.LPE'!D24</f>
        <v>4261721512</v>
      </c>
    </row>
    <row r="27" spans="2:3" ht="15">
      <c r="B27" s="997" t="str">
        <f>"Wonosobo, "&amp;'2.ISIAN DATA SKPD'!D19&amp;""</f>
        <v>Wonosobo, 15 Februari 2018</v>
      </c>
      <c r="C27" s="997"/>
    </row>
    <row r="28" spans="2:3" ht="15">
      <c r="B28" s="1035" t="str">
        <f>"Kepala "&amp;'2.ISIAN DATA SKPD'!D2&amp;","</f>
        <v>Kepala Kecamatan Kaliwiro,</v>
      </c>
      <c r="C28" s="1035"/>
    </row>
    <row r="32" spans="2:3" ht="15">
      <c r="B32" s="1034" t="str">
        <f>'2.ISIAN DATA SKPD'!D13</f>
        <v>Hemi widiyanto, S.Sos,MM</v>
      </c>
      <c r="C32" s="1034"/>
    </row>
    <row r="33" spans="2:3" ht="15">
      <c r="B33" s="1035" t="str">
        <f>"NIP. "&amp;'2.ISIAN DATA SKPD'!D14&amp;""</f>
        <v>NIP. 196010221986071001</v>
      </c>
      <c r="C33" s="1035"/>
    </row>
  </sheetData>
  <sheetProtection/>
  <mergeCells count="9">
    <mergeCell ref="B27:C27"/>
    <mergeCell ref="B32:C32"/>
    <mergeCell ref="B28:C28"/>
    <mergeCell ref="B33:C33"/>
    <mergeCell ref="A1:C1"/>
    <mergeCell ref="A3:C3"/>
    <mergeCell ref="A4:C4"/>
    <mergeCell ref="A5:C5"/>
    <mergeCell ref="A7:C7"/>
  </mergeCells>
  <printOptions/>
  <pageMargins left="1.1023622047244095" right="0.6299212598425197" top="0.7480314960629921" bottom="0.7480314960629921" header="0.31496062992125984" footer="0.31496062992125984"/>
  <pageSetup firstPageNumber="10" useFirstPageNumber="1" horizontalDpi="300" verticalDpi="300" orientation="portrait" paperSize="9" r:id="rId1"/>
  <headerFooter>
    <oddFooter>&amp;R&amp;P</oddFooter>
  </headerFooter>
</worksheet>
</file>

<file path=xl/worksheets/sheet13.xml><?xml version="1.0" encoding="utf-8"?>
<worksheet xmlns="http://schemas.openxmlformats.org/spreadsheetml/2006/main" xmlns:r="http://schemas.openxmlformats.org/officeDocument/2006/relationships">
  <sheetPr>
    <tabColor rgb="FF7030A0"/>
  </sheetPr>
  <dimension ref="A1:AN2168"/>
  <sheetViews>
    <sheetView tabSelected="1" view="pageLayout" zoomScale="112" zoomScaleNormal="80" zoomScaleSheetLayoutView="110" zoomScalePageLayoutView="112" workbookViewId="0" topLeftCell="A944">
      <selection activeCell="C956" sqref="C956:U956"/>
    </sheetView>
  </sheetViews>
  <sheetFormatPr defaultColWidth="9.140625" defaultRowHeight="15"/>
  <cols>
    <col min="1" max="1" width="12.140625" style="641" customWidth="1"/>
    <col min="2" max="2" width="5.7109375" style="640" customWidth="1"/>
    <col min="3" max="3" width="4.7109375" style="640" customWidth="1"/>
    <col min="4" max="5" width="2.7109375" style="640" customWidth="1"/>
    <col min="6" max="8" width="3.57421875" style="640" customWidth="1"/>
    <col min="9" max="9" width="4.28125" style="640" customWidth="1"/>
    <col min="10" max="10" width="3.57421875" style="640" customWidth="1"/>
    <col min="11" max="11" width="4.28125" style="640" customWidth="1"/>
    <col min="12" max="12" width="3.00390625" style="640" customWidth="1"/>
    <col min="13" max="13" width="3.7109375" style="640" customWidth="1"/>
    <col min="14" max="14" width="4.00390625" style="640" customWidth="1"/>
    <col min="15" max="15" width="3.57421875" style="640" customWidth="1"/>
    <col min="16" max="17" width="4.00390625" style="640" customWidth="1"/>
    <col min="18" max="18" width="3.57421875" style="640" customWidth="1"/>
    <col min="19" max="19" width="2.421875" style="640" customWidth="1"/>
    <col min="20" max="20" width="1.8515625" style="642" customWidth="1"/>
    <col min="21" max="21" width="6.00390625" style="642" customWidth="1"/>
    <col min="22" max="22" width="3.57421875" style="640" customWidth="1"/>
    <col min="23" max="23" width="3.28125" style="640" customWidth="1"/>
    <col min="24" max="24" width="2.28125" style="640" customWidth="1"/>
    <col min="25" max="25" width="3.28125" style="640" customWidth="1"/>
    <col min="26" max="26" width="6.421875" style="640" customWidth="1"/>
    <col min="27" max="27" width="2.421875" style="640" customWidth="1"/>
    <col min="28" max="28" width="2.57421875" style="640" customWidth="1"/>
    <col min="29" max="29" width="3.7109375" style="640" customWidth="1"/>
    <col min="30" max="30" width="4.28125" style="640" customWidth="1"/>
    <col min="31" max="33" width="3.8515625" style="640" customWidth="1"/>
    <col min="34" max="34" width="2.7109375" style="640" customWidth="1"/>
    <col min="35" max="39" width="3.00390625" style="640" customWidth="1"/>
    <col min="40" max="16384" width="9.140625" style="640" customWidth="1"/>
  </cols>
  <sheetData>
    <row r="1" spans="1:22" ht="24" customHeight="1">
      <c r="A1" s="1574" t="s">
        <v>108</v>
      </c>
      <c r="B1" s="1574"/>
      <c r="C1" s="1574"/>
      <c r="D1" s="1574"/>
      <c r="E1" s="1574"/>
      <c r="F1" s="1574"/>
      <c r="G1" s="1574"/>
      <c r="H1" s="1574"/>
      <c r="I1" s="1574"/>
      <c r="J1" s="1574"/>
      <c r="K1" s="1574"/>
      <c r="L1" s="1574"/>
      <c r="M1" s="1574"/>
      <c r="N1" s="1574"/>
      <c r="O1" s="1574"/>
      <c r="P1" s="1574"/>
      <c r="Q1" s="1574"/>
      <c r="R1" s="1574"/>
      <c r="S1" s="1574"/>
      <c r="T1" s="1574"/>
      <c r="U1" s="1574"/>
      <c r="V1" s="639"/>
    </row>
    <row r="2" spans="2:21" ht="15">
      <c r="B2" s="1503" t="s">
        <v>289</v>
      </c>
      <c r="C2" s="1503"/>
      <c r="D2" s="1503"/>
      <c r="E2" s="1503"/>
      <c r="F2" s="1503"/>
      <c r="G2" s="1503"/>
      <c r="H2" s="1503"/>
      <c r="I2" s="1503"/>
      <c r="J2" s="1503"/>
      <c r="K2" s="1503"/>
      <c r="L2" s="1503"/>
      <c r="M2" s="1503"/>
      <c r="N2" s="1503"/>
      <c r="O2" s="1503"/>
      <c r="P2" s="1503"/>
      <c r="Q2" s="1503"/>
      <c r="R2" s="1503"/>
      <c r="S2" s="1503"/>
      <c r="T2" s="1503"/>
      <c r="U2" s="1503"/>
    </row>
    <row r="3" spans="2:21" ht="15">
      <c r="B3" s="1503" t="s">
        <v>290</v>
      </c>
      <c r="C3" s="1503"/>
      <c r="D3" s="1503"/>
      <c r="E3" s="1503"/>
      <c r="F3" s="1503"/>
      <c r="G3" s="1503"/>
      <c r="H3" s="1503"/>
      <c r="I3" s="1503"/>
      <c r="J3" s="1503"/>
      <c r="K3" s="1503"/>
      <c r="L3" s="1503"/>
      <c r="M3" s="1503"/>
      <c r="N3" s="1503"/>
      <c r="O3" s="1503"/>
      <c r="P3" s="1503"/>
      <c r="Q3" s="1503"/>
      <c r="R3" s="1503"/>
      <c r="S3" s="1503"/>
      <c r="T3" s="1503"/>
      <c r="U3" s="1503"/>
    </row>
    <row r="4" spans="2:19" ht="6.75" customHeight="1">
      <c r="B4" s="642"/>
      <c r="C4" s="642"/>
      <c r="D4" s="642"/>
      <c r="E4" s="642"/>
      <c r="F4" s="642"/>
      <c r="G4" s="642"/>
      <c r="H4" s="642"/>
      <c r="I4" s="642"/>
      <c r="J4" s="642"/>
      <c r="K4" s="642"/>
      <c r="L4" s="642"/>
      <c r="M4" s="642"/>
      <c r="N4" s="642"/>
      <c r="O4" s="642"/>
      <c r="P4" s="642"/>
      <c r="Q4" s="642"/>
      <c r="R4" s="642"/>
      <c r="S4" s="642"/>
    </row>
    <row r="5" spans="1:21" ht="13.5" customHeight="1">
      <c r="A5" s="83"/>
      <c r="B5" s="643" t="s">
        <v>292</v>
      </c>
      <c r="C5" s="644" t="s">
        <v>291</v>
      </c>
      <c r="D5" s="642"/>
      <c r="E5" s="645"/>
      <c r="F5" s="645"/>
      <c r="G5" s="645"/>
      <c r="H5" s="645"/>
      <c r="I5" s="645"/>
      <c r="J5" s="645"/>
      <c r="K5" s="645"/>
      <c r="L5" s="645"/>
      <c r="M5" s="645"/>
      <c r="N5" s="645"/>
      <c r="O5" s="645"/>
      <c r="P5" s="645"/>
      <c r="Q5" s="645"/>
      <c r="R5" s="645"/>
      <c r="S5" s="645"/>
      <c r="T5" s="645"/>
      <c r="U5" s="645"/>
    </row>
    <row r="6" spans="1:21" ht="9" customHeight="1">
      <c r="A6" s="83"/>
      <c r="B6" s="643"/>
      <c r="C6" s="644"/>
      <c r="D6" s="642"/>
      <c r="E6" s="645"/>
      <c r="F6" s="645"/>
      <c r="G6" s="645"/>
      <c r="H6" s="645"/>
      <c r="I6" s="645"/>
      <c r="J6" s="645"/>
      <c r="K6" s="645"/>
      <c r="L6" s="645"/>
      <c r="M6" s="645"/>
      <c r="N6" s="645"/>
      <c r="O6" s="645"/>
      <c r="P6" s="645"/>
      <c r="Q6" s="645"/>
      <c r="R6" s="645"/>
      <c r="S6" s="645"/>
      <c r="T6" s="645"/>
      <c r="U6" s="645"/>
    </row>
    <row r="7" spans="1:21" ht="13.5" customHeight="1">
      <c r="A7" s="83"/>
      <c r="B7" s="646"/>
      <c r="C7" s="644" t="s">
        <v>7</v>
      </c>
      <c r="D7" s="1395" t="s">
        <v>293</v>
      </c>
      <c r="E7" s="1395"/>
      <c r="F7" s="1395"/>
      <c r="G7" s="1395"/>
      <c r="H7" s="1395"/>
      <c r="I7" s="1395"/>
      <c r="J7" s="1395"/>
      <c r="K7" s="1395"/>
      <c r="L7" s="1395"/>
      <c r="M7" s="1395"/>
      <c r="N7" s="1395"/>
      <c r="O7" s="1395"/>
      <c r="P7" s="1395"/>
      <c r="Q7" s="1395"/>
      <c r="R7" s="1395"/>
      <c r="S7" s="1395"/>
      <c r="T7" s="1395"/>
      <c r="U7" s="1395"/>
    </row>
    <row r="8" spans="1:21" ht="63" customHeight="1">
      <c r="A8" s="82"/>
      <c r="B8" s="648"/>
      <c r="C8" s="1108" t="str">
        <f>"Laporan Keuangan "&amp;'2.ISIAN DATA SKPD'!D2&amp;" disusun untuk menyediakan informasi yang relevan mengenai posisi keuangan dan seluruh transaksi yang dilakukan oleh "&amp;'2.ISIAN DATA SKPD'!D2&amp;" selama satu periode pelaporan."</f>
        <v>Laporan Keuangan Kecamatan Kaliwiro disusun untuk menyediakan informasi yang relevan mengenai posisi keuangan dan seluruh transaksi yang dilakukan oleh Kecamatan Kaliwiro selama satu periode pelaporan.</v>
      </c>
      <c r="D8" s="1108"/>
      <c r="E8" s="1108"/>
      <c r="F8" s="1108"/>
      <c r="G8" s="1108"/>
      <c r="H8" s="1108"/>
      <c r="I8" s="1108"/>
      <c r="J8" s="1108"/>
      <c r="K8" s="1108"/>
      <c r="L8" s="1108"/>
      <c r="M8" s="1108"/>
      <c r="N8" s="1108"/>
      <c r="O8" s="1108"/>
      <c r="P8" s="1108"/>
      <c r="Q8" s="1108"/>
      <c r="R8" s="1108"/>
      <c r="S8" s="1108"/>
      <c r="T8" s="1108"/>
      <c r="U8" s="1108"/>
    </row>
    <row r="9" spans="1:21" ht="76.5" customHeight="1">
      <c r="A9" s="82"/>
      <c r="B9" s="649"/>
      <c r="C9" s="1108" t="str">
        <f>"Laporan keuangan digunakan untuk membandingkan realisasi pendapatan dan belanja dengan anggaran yang telah ditetapkan. "&amp;'2.ISIAN DATA SKPD'!D2&amp;" selaku entitas pelaporan mempunyai kewajiban untuk melaporkan upaya-upaya yang telah berstruktur pada suatu periode pelaporan."</f>
        <v>Laporan keuangan digunakan untuk membandingkan realisasi pendapatan dan belanja dengan anggaran yang telah ditetapkan. Kecamatan Kaliwiro selaku entitas pelaporan mempunyai kewajiban untuk melaporkan upaya-upaya yang telah berstruktur pada suatu periode pelaporan.</v>
      </c>
      <c r="D9" s="1108"/>
      <c r="E9" s="1108"/>
      <c r="F9" s="1108"/>
      <c r="G9" s="1108"/>
      <c r="H9" s="1108"/>
      <c r="I9" s="1108"/>
      <c r="J9" s="1108"/>
      <c r="K9" s="1108"/>
      <c r="L9" s="1108"/>
      <c r="M9" s="1108"/>
      <c r="N9" s="1108"/>
      <c r="O9" s="1108"/>
      <c r="P9" s="1108"/>
      <c r="Q9" s="1108"/>
      <c r="R9" s="1108"/>
      <c r="S9" s="1108"/>
      <c r="T9" s="1108"/>
      <c r="U9" s="1108"/>
    </row>
    <row r="10" spans="1:22" ht="64.5" customHeight="1">
      <c r="A10" s="650"/>
      <c r="B10" s="651"/>
      <c r="C10" s="1108" t="str">
        <f>"Maksud Penyusunan Laporan Keuangan "&amp;'2.ISIAN DATA SKPD'!D2&amp;"  Kabupaten Wonosobo adalah untuk menggambarkan dan menjelaskan target pencapaian realisasi keuangan berdasarkan rencana yang telah ditetapkan."</f>
        <v>Maksud Penyusunan Laporan Keuangan Kecamatan Kaliwiro  Kabupaten Wonosobo adalah untuk menggambarkan dan menjelaskan target pencapaian realisasi keuangan berdasarkan rencana yang telah ditetapkan.</v>
      </c>
      <c r="D10" s="1108"/>
      <c r="E10" s="1108"/>
      <c r="F10" s="1108"/>
      <c r="G10" s="1108"/>
      <c r="H10" s="1108"/>
      <c r="I10" s="1108"/>
      <c r="J10" s="1108"/>
      <c r="K10" s="1108"/>
      <c r="L10" s="1108"/>
      <c r="M10" s="1108"/>
      <c r="N10" s="1108"/>
      <c r="O10" s="1108"/>
      <c r="P10" s="1108"/>
      <c r="Q10" s="1108"/>
      <c r="R10" s="1108"/>
      <c r="S10" s="1108"/>
      <c r="T10" s="1108"/>
      <c r="U10" s="1108"/>
      <c r="V10" s="141"/>
    </row>
    <row r="11" spans="1:22" ht="16.5" customHeight="1">
      <c r="A11" s="650"/>
      <c r="B11" s="651"/>
      <c r="C11" s="644" t="s">
        <v>8</v>
      </c>
      <c r="D11" s="1395" t="s">
        <v>294</v>
      </c>
      <c r="E11" s="1395"/>
      <c r="F11" s="1395"/>
      <c r="G11" s="1395"/>
      <c r="H11" s="1395"/>
      <c r="I11" s="1395"/>
      <c r="J11" s="1395"/>
      <c r="K11" s="1395"/>
      <c r="L11" s="1395"/>
      <c r="M11" s="1395"/>
      <c r="N11" s="1395"/>
      <c r="O11" s="1395"/>
      <c r="P11" s="1395"/>
      <c r="Q11" s="1395"/>
      <c r="R11" s="1395"/>
      <c r="S11" s="1395"/>
      <c r="T11" s="1395"/>
      <c r="U11" s="1395"/>
      <c r="V11" s="141"/>
    </row>
    <row r="12" spans="1:22" ht="76.5" customHeight="1">
      <c r="A12" s="650"/>
      <c r="B12" s="651"/>
      <c r="C12" s="1108" t="s">
        <v>295</v>
      </c>
      <c r="D12" s="1108"/>
      <c r="E12" s="1108"/>
      <c r="F12" s="1108"/>
      <c r="G12" s="1108"/>
      <c r="H12" s="1108"/>
      <c r="I12" s="1108"/>
      <c r="J12" s="1108"/>
      <c r="K12" s="1108"/>
      <c r="L12" s="1108"/>
      <c r="M12" s="1108"/>
      <c r="N12" s="1108"/>
      <c r="O12" s="1108"/>
      <c r="P12" s="1108"/>
      <c r="Q12" s="1108"/>
      <c r="R12" s="1108"/>
      <c r="S12" s="1108"/>
      <c r="T12" s="1108"/>
      <c r="U12" s="1108"/>
      <c r="V12" s="141"/>
    </row>
    <row r="13" spans="1:22" ht="33.75" customHeight="1">
      <c r="A13" s="650"/>
      <c r="B13" s="141"/>
      <c r="C13" s="1108" t="s">
        <v>109</v>
      </c>
      <c r="D13" s="1108"/>
      <c r="E13" s="1108"/>
      <c r="F13" s="1108"/>
      <c r="G13" s="1108"/>
      <c r="H13" s="1108"/>
      <c r="I13" s="1108"/>
      <c r="J13" s="1108"/>
      <c r="K13" s="1108"/>
      <c r="L13" s="1108"/>
      <c r="M13" s="1108"/>
      <c r="N13" s="1108"/>
      <c r="O13" s="1108"/>
      <c r="P13" s="1108"/>
      <c r="Q13" s="1108"/>
      <c r="R13" s="1108"/>
      <c r="S13" s="1108"/>
      <c r="T13" s="1108"/>
      <c r="U13" s="1108"/>
      <c r="V13" s="141"/>
    </row>
    <row r="14" spans="1:22" ht="30.75" customHeight="1">
      <c r="A14" s="650"/>
      <c r="B14" s="141"/>
      <c r="C14" s="651" t="s">
        <v>110</v>
      </c>
      <c r="D14" s="1108" t="s">
        <v>325</v>
      </c>
      <c r="E14" s="1108"/>
      <c r="F14" s="1108"/>
      <c r="G14" s="1108"/>
      <c r="H14" s="1108"/>
      <c r="I14" s="1108"/>
      <c r="J14" s="1108"/>
      <c r="K14" s="1108"/>
      <c r="L14" s="1108"/>
      <c r="M14" s="1108"/>
      <c r="N14" s="1108"/>
      <c r="O14" s="1108"/>
      <c r="P14" s="1108"/>
      <c r="Q14" s="1108"/>
      <c r="R14" s="1108"/>
      <c r="S14" s="1108"/>
      <c r="T14" s="1108"/>
      <c r="U14" s="1108"/>
      <c r="V14" s="141"/>
    </row>
    <row r="15" spans="1:22" ht="30.75" customHeight="1">
      <c r="A15" s="650"/>
      <c r="B15" s="141"/>
      <c r="C15" s="651" t="s">
        <v>110</v>
      </c>
      <c r="D15" s="1108" t="s">
        <v>296</v>
      </c>
      <c r="E15" s="1108"/>
      <c r="F15" s="1108"/>
      <c r="G15" s="1108"/>
      <c r="H15" s="1108"/>
      <c r="I15" s="1108"/>
      <c r="J15" s="1108"/>
      <c r="K15" s="1108"/>
      <c r="L15" s="1108"/>
      <c r="M15" s="1108"/>
      <c r="N15" s="1108"/>
      <c r="O15" s="1108"/>
      <c r="P15" s="1108"/>
      <c r="Q15" s="1108"/>
      <c r="R15" s="1108"/>
      <c r="S15" s="1108"/>
      <c r="T15" s="1108"/>
      <c r="U15" s="1108"/>
      <c r="V15" s="141"/>
    </row>
    <row r="16" spans="1:22" ht="28.5" customHeight="1">
      <c r="A16" s="650"/>
      <c r="B16" s="141"/>
      <c r="C16" s="651" t="s">
        <v>110</v>
      </c>
      <c r="D16" s="1108" t="s">
        <v>297</v>
      </c>
      <c r="E16" s="1108"/>
      <c r="F16" s="1108"/>
      <c r="G16" s="1108"/>
      <c r="H16" s="1108"/>
      <c r="I16" s="1108"/>
      <c r="J16" s="1108"/>
      <c r="K16" s="1108"/>
      <c r="L16" s="1108"/>
      <c r="M16" s="1108"/>
      <c r="N16" s="1108"/>
      <c r="O16" s="1108"/>
      <c r="P16" s="1108"/>
      <c r="Q16" s="1108"/>
      <c r="R16" s="1108"/>
      <c r="S16" s="1108"/>
      <c r="T16" s="1108"/>
      <c r="U16" s="1108"/>
      <c r="V16" s="141"/>
    </row>
    <row r="17" spans="1:22" ht="17.25" customHeight="1">
      <c r="A17" s="650"/>
      <c r="B17" s="141"/>
      <c r="C17" s="651" t="s">
        <v>110</v>
      </c>
      <c r="D17" s="1108" t="s">
        <v>298</v>
      </c>
      <c r="E17" s="1108"/>
      <c r="F17" s="1108"/>
      <c r="G17" s="1108"/>
      <c r="H17" s="1108"/>
      <c r="I17" s="1108"/>
      <c r="J17" s="1108"/>
      <c r="K17" s="1108"/>
      <c r="L17" s="1108"/>
      <c r="M17" s="1108"/>
      <c r="N17" s="1108"/>
      <c r="O17" s="1108"/>
      <c r="P17" s="1108"/>
      <c r="Q17" s="1108"/>
      <c r="R17" s="1108"/>
      <c r="S17" s="1108"/>
      <c r="T17" s="1108"/>
      <c r="U17" s="1108"/>
      <c r="V17" s="141"/>
    </row>
    <row r="18" spans="1:22" ht="30.75" customHeight="1">
      <c r="A18" s="650"/>
      <c r="B18" s="141"/>
      <c r="C18" s="651" t="s">
        <v>110</v>
      </c>
      <c r="D18" s="1108" t="s">
        <v>317</v>
      </c>
      <c r="E18" s="1108"/>
      <c r="F18" s="1108"/>
      <c r="G18" s="1108"/>
      <c r="H18" s="1108"/>
      <c r="I18" s="1108"/>
      <c r="J18" s="1108"/>
      <c r="K18" s="1108"/>
      <c r="L18" s="1108"/>
      <c r="M18" s="1108"/>
      <c r="N18" s="1108"/>
      <c r="O18" s="1108"/>
      <c r="P18" s="1108"/>
      <c r="Q18" s="1108"/>
      <c r="R18" s="1108"/>
      <c r="S18" s="1108"/>
      <c r="T18" s="1108"/>
      <c r="U18" s="1108"/>
      <c r="V18" s="141"/>
    </row>
    <row r="19" spans="1:22" ht="31.5" customHeight="1">
      <c r="A19" s="650"/>
      <c r="B19" s="141"/>
      <c r="C19" s="651" t="s">
        <v>110</v>
      </c>
      <c r="D19" s="1108" t="s">
        <v>316</v>
      </c>
      <c r="E19" s="1108"/>
      <c r="F19" s="1108"/>
      <c r="G19" s="1108"/>
      <c r="H19" s="1108"/>
      <c r="I19" s="1108"/>
      <c r="J19" s="1108"/>
      <c r="K19" s="1108"/>
      <c r="L19" s="1108"/>
      <c r="M19" s="1108"/>
      <c r="N19" s="1108"/>
      <c r="O19" s="1108"/>
      <c r="P19" s="1108"/>
      <c r="Q19" s="1108"/>
      <c r="R19" s="1108"/>
      <c r="S19" s="1108"/>
      <c r="T19" s="1108"/>
      <c r="U19" s="1108"/>
      <c r="V19" s="141"/>
    </row>
    <row r="20" spans="1:22" ht="31.5" customHeight="1">
      <c r="A20" s="650"/>
      <c r="B20" s="141"/>
      <c r="C20" s="651" t="s">
        <v>110</v>
      </c>
      <c r="D20" s="1108" t="s">
        <v>299</v>
      </c>
      <c r="E20" s="1108"/>
      <c r="F20" s="1108"/>
      <c r="G20" s="1108"/>
      <c r="H20" s="1108"/>
      <c r="I20" s="1108"/>
      <c r="J20" s="1108"/>
      <c r="K20" s="1108"/>
      <c r="L20" s="1108"/>
      <c r="M20" s="1108"/>
      <c r="N20" s="1108"/>
      <c r="O20" s="1108"/>
      <c r="P20" s="1108"/>
      <c r="Q20" s="1108"/>
      <c r="R20" s="1108"/>
      <c r="S20" s="1108"/>
      <c r="T20" s="1108"/>
      <c r="U20" s="1108"/>
      <c r="V20" s="141"/>
    </row>
    <row r="21" spans="1:22" ht="78.75" customHeight="1">
      <c r="A21" s="650"/>
      <c r="B21" s="141"/>
      <c r="C21" s="1108" t="s">
        <v>318</v>
      </c>
      <c r="D21" s="1108"/>
      <c r="E21" s="1108"/>
      <c r="F21" s="1108"/>
      <c r="G21" s="1108"/>
      <c r="H21" s="1108"/>
      <c r="I21" s="1108"/>
      <c r="J21" s="1108"/>
      <c r="K21" s="1108"/>
      <c r="L21" s="1108"/>
      <c r="M21" s="1108"/>
      <c r="N21" s="1108"/>
      <c r="O21" s="1108"/>
      <c r="P21" s="1108"/>
      <c r="Q21" s="1108"/>
      <c r="R21" s="1108"/>
      <c r="S21" s="1108"/>
      <c r="T21" s="1108"/>
      <c r="U21" s="1108"/>
      <c r="V21" s="141"/>
    </row>
    <row r="22" spans="1:22" ht="70.5" customHeight="1">
      <c r="A22" s="652"/>
      <c r="B22" s="653"/>
      <c r="C22" s="1140" t="str">
        <f>"Laporan Keuangan "&amp;'2.ISIAN DATA SKPD'!D2&amp;"Kabupaten Wonosobo  terdiri dari :"</f>
        <v>Laporan Keuangan Kecamatan KaliwiroKabupaten Wonosobo  terdiri dari :</v>
      </c>
      <c r="D22" s="1140"/>
      <c r="E22" s="1140"/>
      <c r="F22" s="1140"/>
      <c r="G22" s="1140"/>
      <c r="H22" s="1140"/>
      <c r="I22" s="1140"/>
      <c r="J22" s="1140"/>
      <c r="K22" s="1140"/>
      <c r="L22" s="1140"/>
      <c r="M22" s="1140"/>
      <c r="N22" s="1140"/>
      <c r="O22" s="1140"/>
      <c r="P22" s="1140"/>
      <c r="Q22" s="1140"/>
      <c r="R22" s="1140"/>
      <c r="S22" s="1140"/>
      <c r="T22" s="1140"/>
      <c r="U22" s="1140"/>
      <c r="V22" s="653"/>
    </row>
    <row r="23" spans="1:22" ht="16.5" customHeight="1">
      <c r="A23" s="652"/>
      <c r="B23" s="653"/>
      <c r="C23" s="1140" t="s">
        <v>315</v>
      </c>
      <c r="D23" s="1140"/>
      <c r="E23" s="1140"/>
      <c r="F23" s="1140"/>
      <c r="G23" s="1140"/>
      <c r="H23" s="1140"/>
      <c r="I23" s="1140"/>
      <c r="J23" s="1140"/>
      <c r="K23" s="1140"/>
      <c r="L23" s="1140"/>
      <c r="M23" s="1140"/>
      <c r="N23" s="1140"/>
      <c r="O23" s="1140"/>
      <c r="P23" s="1140"/>
      <c r="Q23" s="1140"/>
      <c r="R23" s="1140"/>
      <c r="S23" s="1140"/>
      <c r="T23" s="1140"/>
      <c r="U23" s="655"/>
      <c r="V23" s="653"/>
    </row>
    <row r="24" spans="1:22" ht="16.5" customHeight="1">
      <c r="A24" s="652"/>
      <c r="B24" s="653"/>
      <c r="C24" s="1140" t="s">
        <v>1659</v>
      </c>
      <c r="D24" s="1140"/>
      <c r="E24" s="1140"/>
      <c r="F24" s="1140"/>
      <c r="G24" s="1140"/>
      <c r="H24" s="1140"/>
      <c r="I24" s="1140"/>
      <c r="J24" s="1140"/>
      <c r="K24" s="1140"/>
      <c r="L24" s="1140"/>
      <c r="M24" s="1140"/>
      <c r="N24" s="1140"/>
      <c r="O24" s="1140"/>
      <c r="P24" s="1140"/>
      <c r="Q24" s="1140"/>
      <c r="R24" s="1140"/>
      <c r="S24" s="1140"/>
      <c r="T24" s="1140"/>
      <c r="U24" s="655"/>
      <c r="V24" s="653"/>
    </row>
    <row r="25" spans="1:22" ht="16.5" customHeight="1">
      <c r="A25" s="652"/>
      <c r="B25" s="653"/>
      <c r="C25" s="1140" t="s">
        <v>1660</v>
      </c>
      <c r="D25" s="1140"/>
      <c r="E25" s="1140"/>
      <c r="F25" s="1140"/>
      <c r="G25" s="1140"/>
      <c r="H25" s="1140"/>
      <c r="I25" s="1140"/>
      <c r="J25" s="1140"/>
      <c r="K25" s="1140"/>
      <c r="L25" s="1140"/>
      <c r="M25" s="1140"/>
      <c r="N25" s="1140"/>
      <c r="O25" s="1140"/>
      <c r="P25" s="1140"/>
      <c r="Q25" s="1140"/>
      <c r="R25" s="1140"/>
      <c r="S25" s="1140"/>
      <c r="T25" s="1140"/>
      <c r="U25" s="655"/>
      <c r="V25" s="653"/>
    </row>
    <row r="26" spans="1:22" ht="16.5" customHeight="1">
      <c r="A26" s="652"/>
      <c r="B26" s="653"/>
      <c r="C26" s="1140" t="s">
        <v>1661</v>
      </c>
      <c r="D26" s="1140"/>
      <c r="E26" s="1140"/>
      <c r="F26" s="1140"/>
      <c r="G26" s="1140"/>
      <c r="H26" s="1140"/>
      <c r="I26" s="1140"/>
      <c r="J26" s="1140"/>
      <c r="K26" s="1140"/>
      <c r="L26" s="1140"/>
      <c r="M26" s="1140"/>
      <c r="N26" s="1140"/>
      <c r="O26" s="1140"/>
      <c r="P26" s="1140"/>
      <c r="Q26" s="1140"/>
      <c r="R26" s="1140"/>
      <c r="S26" s="1140"/>
      <c r="T26" s="1140"/>
      <c r="U26" s="655"/>
      <c r="V26" s="653"/>
    </row>
    <row r="27" spans="1:22" ht="16.5" customHeight="1">
      <c r="A27" s="114"/>
      <c r="B27" s="656"/>
      <c r="C27" s="1140" t="s">
        <v>1662</v>
      </c>
      <c r="D27" s="1140"/>
      <c r="E27" s="1140"/>
      <c r="F27" s="1140"/>
      <c r="G27" s="1140"/>
      <c r="H27" s="1140"/>
      <c r="I27" s="1140"/>
      <c r="J27" s="1140"/>
      <c r="K27" s="1140"/>
      <c r="L27" s="1140"/>
      <c r="M27" s="1140"/>
      <c r="N27" s="1140"/>
      <c r="O27" s="1140"/>
      <c r="P27" s="1140"/>
      <c r="Q27" s="1140"/>
      <c r="R27" s="1140"/>
      <c r="S27" s="1140"/>
      <c r="T27" s="1140"/>
      <c r="U27" s="655"/>
      <c r="V27" s="52"/>
    </row>
    <row r="28" spans="1:22" ht="16.5" customHeight="1">
      <c r="A28" s="114"/>
      <c r="B28" s="656"/>
      <c r="C28" s="633"/>
      <c r="D28" s="633"/>
      <c r="E28" s="633"/>
      <c r="F28" s="633"/>
      <c r="G28" s="633"/>
      <c r="H28" s="633"/>
      <c r="I28" s="633"/>
      <c r="J28" s="633"/>
      <c r="K28" s="633"/>
      <c r="L28" s="633"/>
      <c r="M28" s="633"/>
      <c r="N28" s="633"/>
      <c r="O28" s="633"/>
      <c r="P28" s="633"/>
      <c r="Q28" s="633"/>
      <c r="R28" s="633"/>
      <c r="S28" s="633"/>
      <c r="T28" s="633"/>
      <c r="U28" s="657"/>
      <c r="V28" s="52"/>
    </row>
    <row r="29" spans="1:22" s="141" customFormat="1" ht="18.75" customHeight="1">
      <c r="A29" s="1516"/>
      <c r="B29" s="658" t="s">
        <v>300</v>
      </c>
      <c r="C29" s="1568" t="s">
        <v>301</v>
      </c>
      <c r="D29" s="1568"/>
      <c r="E29" s="1568"/>
      <c r="F29" s="1568"/>
      <c r="G29" s="1568"/>
      <c r="H29" s="1568"/>
      <c r="I29" s="1568"/>
      <c r="J29" s="1568"/>
      <c r="K29" s="1568"/>
      <c r="L29" s="1568"/>
      <c r="M29" s="1568"/>
      <c r="N29" s="1568"/>
      <c r="O29" s="1568"/>
      <c r="P29" s="1568"/>
      <c r="Q29" s="1568"/>
      <c r="R29" s="1568"/>
      <c r="S29" s="1568"/>
      <c r="T29" s="1568"/>
      <c r="U29" s="633"/>
      <c r="V29" s="52"/>
    </row>
    <row r="30" spans="1:22" s="141" customFormat="1" ht="76.5" customHeight="1">
      <c r="A30" s="1516"/>
      <c r="B30" s="52"/>
      <c r="C30" s="1108" t="str">
        <f>"Sebagaimana halnya dengan  proses  Penyusunan  APBD dan Perubahan APBD, maka dalam penyusunan Pertanggungjawaban Pelaksanaan  Anggaran Pendapatan dan Belanja  "&amp;'2.ISIAN DATA SKPD'!D2&amp;" Kabupaten Wonosobo Tahun Anggaran "&amp;'2.ISIAN DATA SKPD'!D11&amp;" ini tetap berpedoman pada ketentuan dan peraturan perundang-undangan yang berlaku."</f>
        <v>Sebagaimana halnya dengan  proses  Penyusunan  APBD dan Perubahan APBD, maka dalam penyusunan Pertanggungjawaban Pelaksanaan  Anggaran Pendapatan dan Belanja  Kecamatan Kaliwiro Kabupaten Wonosobo Tahun Anggaran 2017 ini tetap berpedoman pada ketentuan dan peraturan perundang-undangan yang berlaku.</v>
      </c>
      <c r="D30" s="1108"/>
      <c r="E30" s="1108"/>
      <c r="F30" s="1108"/>
      <c r="G30" s="1108"/>
      <c r="H30" s="1108"/>
      <c r="I30" s="1108"/>
      <c r="J30" s="1108"/>
      <c r="K30" s="1108"/>
      <c r="L30" s="1108"/>
      <c r="M30" s="1108"/>
      <c r="N30" s="1108"/>
      <c r="O30" s="1108"/>
      <c r="P30" s="1108"/>
      <c r="Q30" s="1108"/>
      <c r="R30" s="1108"/>
      <c r="S30" s="1108"/>
      <c r="T30" s="1108"/>
      <c r="U30" s="1108"/>
      <c r="V30" s="52"/>
    </row>
    <row r="31" spans="1:22" s="141" customFormat="1" ht="44.25" customHeight="1">
      <c r="A31" s="114"/>
      <c r="B31" s="52"/>
      <c r="C31" s="1108" t="s">
        <v>326</v>
      </c>
      <c r="D31" s="1108"/>
      <c r="E31" s="1108"/>
      <c r="F31" s="1108"/>
      <c r="G31" s="1108"/>
      <c r="H31" s="1108"/>
      <c r="I31" s="1108"/>
      <c r="J31" s="1108"/>
      <c r="K31" s="1108"/>
      <c r="L31" s="1108"/>
      <c r="M31" s="1108"/>
      <c r="N31" s="1108"/>
      <c r="O31" s="1108"/>
      <c r="P31" s="1108"/>
      <c r="Q31" s="1108"/>
      <c r="R31" s="1108"/>
      <c r="S31" s="1108"/>
      <c r="T31" s="1108"/>
      <c r="U31" s="1108"/>
      <c r="V31" s="52"/>
    </row>
    <row r="32" spans="1:22" s="141" customFormat="1" ht="18" customHeight="1">
      <c r="A32" s="660"/>
      <c r="B32" s="52"/>
      <c r="C32" s="661">
        <v>1</v>
      </c>
      <c r="D32" s="1108" t="s">
        <v>302</v>
      </c>
      <c r="E32" s="1108"/>
      <c r="F32" s="1108"/>
      <c r="G32" s="1108"/>
      <c r="H32" s="1108"/>
      <c r="I32" s="1108"/>
      <c r="J32" s="1108"/>
      <c r="K32" s="1108"/>
      <c r="L32" s="1108"/>
      <c r="M32" s="1108"/>
      <c r="N32" s="1108"/>
      <c r="O32" s="1108"/>
      <c r="P32" s="1108"/>
      <c r="Q32" s="1108"/>
      <c r="R32" s="1108"/>
      <c r="S32" s="1108"/>
      <c r="T32" s="1108"/>
      <c r="U32" s="1108"/>
      <c r="V32" s="52"/>
    </row>
    <row r="33" spans="1:22" s="141" customFormat="1" ht="30" customHeight="1">
      <c r="A33" s="660"/>
      <c r="B33" s="52"/>
      <c r="C33" s="661">
        <f>C32+1</f>
        <v>2</v>
      </c>
      <c r="D33" s="1108" t="s">
        <v>303</v>
      </c>
      <c r="E33" s="1108"/>
      <c r="F33" s="1108"/>
      <c r="G33" s="1108"/>
      <c r="H33" s="1108"/>
      <c r="I33" s="1108"/>
      <c r="J33" s="1108"/>
      <c r="K33" s="1108"/>
      <c r="L33" s="1108"/>
      <c r="M33" s="1108"/>
      <c r="N33" s="1108"/>
      <c r="O33" s="1108"/>
      <c r="P33" s="1108"/>
      <c r="Q33" s="1108"/>
      <c r="R33" s="1108"/>
      <c r="S33" s="1108"/>
      <c r="T33" s="1108"/>
      <c r="U33" s="1108"/>
      <c r="V33" s="52"/>
    </row>
    <row r="34" spans="1:22" s="141" customFormat="1" ht="73.5" customHeight="1">
      <c r="A34" s="660"/>
      <c r="B34" s="52"/>
      <c r="C34" s="661">
        <f aca="true" t="shared" si="0" ref="C34:C55">C33+1</f>
        <v>3</v>
      </c>
      <c r="D34" s="1108" t="s">
        <v>1452</v>
      </c>
      <c r="E34" s="1108"/>
      <c r="F34" s="1108"/>
      <c r="G34" s="1108"/>
      <c r="H34" s="1108"/>
      <c r="I34" s="1108"/>
      <c r="J34" s="1108"/>
      <c r="K34" s="1108"/>
      <c r="L34" s="1108"/>
      <c r="M34" s="1108"/>
      <c r="N34" s="1108"/>
      <c r="O34" s="1108"/>
      <c r="P34" s="1108"/>
      <c r="Q34" s="1108"/>
      <c r="R34" s="1108"/>
      <c r="S34" s="1108"/>
      <c r="T34" s="1108"/>
      <c r="U34" s="1108"/>
      <c r="V34" s="52"/>
    </row>
    <row r="35" spans="1:22" s="141" customFormat="1" ht="30" customHeight="1">
      <c r="A35" s="660"/>
      <c r="B35" s="52"/>
      <c r="C35" s="661">
        <f t="shared" si="0"/>
        <v>4</v>
      </c>
      <c r="D35" s="1108" t="s">
        <v>304</v>
      </c>
      <c r="E35" s="1108"/>
      <c r="F35" s="1108"/>
      <c r="G35" s="1108"/>
      <c r="H35" s="1108"/>
      <c r="I35" s="1108"/>
      <c r="J35" s="1108"/>
      <c r="K35" s="1108"/>
      <c r="L35" s="1108"/>
      <c r="M35" s="1108"/>
      <c r="N35" s="1108"/>
      <c r="O35" s="1108"/>
      <c r="P35" s="1108"/>
      <c r="Q35" s="1108"/>
      <c r="R35" s="1108"/>
      <c r="S35" s="1108"/>
      <c r="T35" s="1108"/>
      <c r="U35" s="1108"/>
      <c r="V35" s="52"/>
    </row>
    <row r="36" spans="1:22" s="141" customFormat="1" ht="28.5" customHeight="1">
      <c r="A36" s="660"/>
      <c r="B36" s="52"/>
      <c r="C36" s="661">
        <f t="shared" si="0"/>
        <v>5</v>
      </c>
      <c r="D36" s="1108" t="s">
        <v>1237</v>
      </c>
      <c r="E36" s="1108"/>
      <c r="F36" s="1108"/>
      <c r="G36" s="1108"/>
      <c r="H36" s="1108"/>
      <c r="I36" s="1108"/>
      <c r="J36" s="1108"/>
      <c r="K36" s="1108"/>
      <c r="L36" s="1108"/>
      <c r="M36" s="1108"/>
      <c r="N36" s="1108"/>
      <c r="O36" s="1108"/>
      <c r="P36" s="1108"/>
      <c r="Q36" s="1108"/>
      <c r="R36" s="1108"/>
      <c r="S36" s="1108"/>
      <c r="T36" s="1108"/>
      <c r="U36" s="1108"/>
      <c r="V36" s="52"/>
    </row>
    <row r="37" spans="1:22" s="141" customFormat="1" ht="29.25" customHeight="1">
      <c r="A37" s="660"/>
      <c r="B37" s="52"/>
      <c r="C37" s="662">
        <f t="shared" si="0"/>
        <v>6</v>
      </c>
      <c r="D37" s="1140" t="s">
        <v>305</v>
      </c>
      <c r="E37" s="1140"/>
      <c r="F37" s="1140"/>
      <c r="G37" s="1140"/>
      <c r="H37" s="1140"/>
      <c r="I37" s="1140"/>
      <c r="J37" s="1140"/>
      <c r="K37" s="1140"/>
      <c r="L37" s="1140"/>
      <c r="M37" s="1140"/>
      <c r="N37" s="1140"/>
      <c r="O37" s="1140"/>
      <c r="P37" s="1140"/>
      <c r="Q37" s="1140"/>
      <c r="R37" s="1140"/>
      <c r="S37" s="1140"/>
      <c r="T37" s="1140"/>
      <c r="U37" s="1140"/>
      <c r="V37" s="52"/>
    </row>
    <row r="38" spans="1:22" s="141" customFormat="1" ht="29.25" customHeight="1">
      <c r="A38" s="660"/>
      <c r="B38" s="52"/>
      <c r="C38" s="662">
        <f t="shared" si="0"/>
        <v>7</v>
      </c>
      <c r="D38" s="1140" t="s">
        <v>1456</v>
      </c>
      <c r="E38" s="1140"/>
      <c r="F38" s="1140"/>
      <c r="G38" s="1140"/>
      <c r="H38" s="1140"/>
      <c r="I38" s="1140"/>
      <c r="J38" s="1140"/>
      <c r="K38" s="1140"/>
      <c r="L38" s="1140"/>
      <c r="M38" s="1140"/>
      <c r="N38" s="1140"/>
      <c r="O38" s="1140"/>
      <c r="P38" s="1140"/>
      <c r="Q38" s="1140"/>
      <c r="R38" s="1140"/>
      <c r="S38" s="1140"/>
      <c r="T38" s="1140"/>
      <c r="U38" s="1140"/>
      <c r="V38" s="52"/>
    </row>
    <row r="39" spans="1:22" s="141" customFormat="1" ht="29.25" customHeight="1">
      <c r="A39" s="660"/>
      <c r="B39" s="52"/>
      <c r="C39" s="662">
        <f t="shared" si="0"/>
        <v>8</v>
      </c>
      <c r="D39" s="1140" t="s">
        <v>1239</v>
      </c>
      <c r="E39" s="1140"/>
      <c r="F39" s="1140"/>
      <c r="G39" s="1140"/>
      <c r="H39" s="1140"/>
      <c r="I39" s="1140"/>
      <c r="J39" s="1140"/>
      <c r="K39" s="1140"/>
      <c r="L39" s="1140"/>
      <c r="M39" s="1140"/>
      <c r="N39" s="1140"/>
      <c r="O39" s="1140"/>
      <c r="P39" s="1140"/>
      <c r="Q39" s="1140"/>
      <c r="R39" s="1140"/>
      <c r="S39" s="1140"/>
      <c r="T39" s="1140"/>
      <c r="U39" s="1140"/>
      <c r="V39" s="52"/>
    </row>
    <row r="40" spans="1:22" s="141" customFormat="1" ht="29.25" customHeight="1">
      <c r="A40" s="660"/>
      <c r="B40" s="52"/>
      <c r="C40" s="662">
        <f t="shared" si="0"/>
        <v>9</v>
      </c>
      <c r="D40" s="1140" t="s">
        <v>306</v>
      </c>
      <c r="E40" s="1140"/>
      <c r="F40" s="1140"/>
      <c r="G40" s="1140"/>
      <c r="H40" s="1140"/>
      <c r="I40" s="1140"/>
      <c r="J40" s="1140"/>
      <c r="K40" s="1140"/>
      <c r="L40" s="1140"/>
      <c r="M40" s="1140"/>
      <c r="N40" s="1140"/>
      <c r="O40" s="1140"/>
      <c r="P40" s="1140"/>
      <c r="Q40" s="1140"/>
      <c r="R40" s="1140"/>
      <c r="S40" s="1140"/>
      <c r="T40" s="1140"/>
      <c r="U40" s="1140"/>
      <c r="V40" s="52"/>
    </row>
    <row r="41" spans="1:22" s="141" customFormat="1" ht="27.75" customHeight="1">
      <c r="A41" s="660"/>
      <c r="B41" s="52"/>
      <c r="C41" s="662">
        <f t="shared" si="0"/>
        <v>10</v>
      </c>
      <c r="D41" s="1140" t="s">
        <v>1238</v>
      </c>
      <c r="E41" s="1140"/>
      <c r="F41" s="1140"/>
      <c r="G41" s="1140"/>
      <c r="H41" s="1140"/>
      <c r="I41" s="1140"/>
      <c r="J41" s="1140"/>
      <c r="K41" s="1140"/>
      <c r="L41" s="1140"/>
      <c r="M41" s="1140"/>
      <c r="N41" s="1140"/>
      <c r="O41" s="1140"/>
      <c r="P41" s="1140"/>
      <c r="Q41" s="1140"/>
      <c r="R41" s="1140"/>
      <c r="S41" s="1140"/>
      <c r="T41" s="1140"/>
      <c r="U41" s="1140"/>
      <c r="V41" s="52"/>
    </row>
    <row r="42" spans="1:22" s="141" customFormat="1" ht="30" customHeight="1">
      <c r="A42" s="660"/>
      <c r="B42" s="52"/>
      <c r="C42" s="662">
        <f t="shared" si="0"/>
        <v>11</v>
      </c>
      <c r="D42" s="1140" t="s">
        <v>1453</v>
      </c>
      <c r="E42" s="1140"/>
      <c r="F42" s="1140"/>
      <c r="G42" s="1140"/>
      <c r="H42" s="1140"/>
      <c r="I42" s="1140"/>
      <c r="J42" s="1140"/>
      <c r="K42" s="1140"/>
      <c r="L42" s="1140"/>
      <c r="M42" s="1140"/>
      <c r="N42" s="1140"/>
      <c r="O42" s="1140"/>
      <c r="P42" s="1140"/>
      <c r="Q42" s="1140"/>
      <c r="R42" s="1140"/>
      <c r="S42" s="1140"/>
      <c r="T42" s="1140"/>
      <c r="U42" s="1140"/>
      <c r="V42" s="52"/>
    </row>
    <row r="43" spans="1:22" s="141" customFormat="1" ht="43.5" customHeight="1">
      <c r="A43" s="660"/>
      <c r="B43" s="52"/>
      <c r="C43" s="662">
        <f t="shared" si="0"/>
        <v>12</v>
      </c>
      <c r="D43" s="1140" t="s">
        <v>1459</v>
      </c>
      <c r="E43" s="1140"/>
      <c r="F43" s="1140"/>
      <c r="G43" s="1140"/>
      <c r="H43" s="1140"/>
      <c r="I43" s="1140"/>
      <c r="J43" s="1140"/>
      <c r="K43" s="1140"/>
      <c r="L43" s="1140"/>
      <c r="M43" s="1140"/>
      <c r="N43" s="1140"/>
      <c r="O43" s="1140"/>
      <c r="P43" s="1140"/>
      <c r="Q43" s="1140"/>
      <c r="R43" s="1140"/>
      <c r="S43" s="1140"/>
      <c r="T43" s="1140"/>
      <c r="U43" s="1140"/>
      <c r="V43" s="52"/>
    </row>
    <row r="44" spans="1:38" s="141" customFormat="1" ht="30.75" customHeight="1">
      <c r="A44" s="660"/>
      <c r="B44" s="52"/>
      <c r="C44" s="662">
        <f t="shared" si="0"/>
        <v>13</v>
      </c>
      <c r="D44" s="1140" t="s">
        <v>1458</v>
      </c>
      <c r="E44" s="1140"/>
      <c r="F44" s="1140"/>
      <c r="G44" s="1140"/>
      <c r="H44" s="1140"/>
      <c r="I44" s="1140"/>
      <c r="J44" s="1140"/>
      <c r="K44" s="1140"/>
      <c r="L44" s="1140"/>
      <c r="M44" s="1140"/>
      <c r="N44" s="1140"/>
      <c r="O44" s="1140"/>
      <c r="P44" s="1140"/>
      <c r="Q44" s="1140"/>
      <c r="R44" s="1140"/>
      <c r="S44" s="1140"/>
      <c r="T44" s="1140"/>
      <c r="U44" s="1140"/>
      <c r="V44" s="1108"/>
      <c r="W44" s="1108"/>
      <c r="X44" s="1108"/>
      <c r="Y44" s="1108"/>
      <c r="Z44" s="1108"/>
      <c r="AA44" s="1108"/>
      <c r="AB44" s="1108"/>
      <c r="AC44" s="1108"/>
      <c r="AD44" s="1108"/>
      <c r="AE44" s="1108"/>
      <c r="AF44" s="1108"/>
      <c r="AG44" s="1108"/>
      <c r="AH44" s="1108"/>
      <c r="AI44" s="1108"/>
      <c r="AJ44" s="1108"/>
      <c r="AK44" s="1108"/>
      <c r="AL44" s="1108"/>
    </row>
    <row r="45" spans="1:38" s="141" customFormat="1" ht="45" customHeight="1">
      <c r="A45" s="660"/>
      <c r="B45" s="52"/>
      <c r="C45" s="662">
        <f t="shared" si="0"/>
        <v>14</v>
      </c>
      <c r="D45" s="1140" t="s">
        <v>1457</v>
      </c>
      <c r="E45" s="1140"/>
      <c r="F45" s="1140"/>
      <c r="G45" s="1140"/>
      <c r="H45" s="1140"/>
      <c r="I45" s="1140"/>
      <c r="J45" s="1140"/>
      <c r="K45" s="1140"/>
      <c r="L45" s="1140"/>
      <c r="M45" s="1140"/>
      <c r="N45" s="1140"/>
      <c r="O45" s="1140"/>
      <c r="P45" s="1140"/>
      <c r="Q45" s="1140"/>
      <c r="R45" s="1140"/>
      <c r="S45" s="1140"/>
      <c r="T45" s="1140"/>
      <c r="U45" s="1140"/>
      <c r="V45" s="633"/>
      <c r="W45" s="633"/>
      <c r="X45" s="633"/>
      <c r="Y45" s="633"/>
      <c r="Z45" s="633"/>
      <c r="AA45" s="633"/>
      <c r="AB45" s="633"/>
      <c r="AC45" s="633"/>
      <c r="AD45" s="633"/>
      <c r="AE45" s="633"/>
      <c r="AF45" s="633"/>
      <c r="AG45" s="633"/>
      <c r="AH45" s="633"/>
      <c r="AI45" s="633"/>
      <c r="AJ45" s="633"/>
      <c r="AK45" s="633"/>
      <c r="AL45" s="633"/>
    </row>
    <row r="46" spans="1:38" s="141" customFormat="1" ht="36" customHeight="1">
      <c r="A46" s="660"/>
      <c r="B46" s="52"/>
      <c r="C46" s="662">
        <f t="shared" si="0"/>
        <v>15</v>
      </c>
      <c r="D46" s="1140" t="s">
        <v>307</v>
      </c>
      <c r="E46" s="1140"/>
      <c r="F46" s="1140"/>
      <c r="G46" s="1140"/>
      <c r="H46" s="1140"/>
      <c r="I46" s="1140"/>
      <c r="J46" s="1140"/>
      <c r="K46" s="1140"/>
      <c r="L46" s="1140"/>
      <c r="M46" s="1140"/>
      <c r="N46" s="1140"/>
      <c r="O46" s="1140"/>
      <c r="P46" s="1140"/>
      <c r="Q46" s="1140"/>
      <c r="R46" s="1140"/>
      <c r="S46" s="1140"/>
      <c r="T46" s="1140"/>
      <c r="U46" s="1140"/>
      <c r="V46" s="633"/>
      <c r="W46" s="633"/>
      <c r="X46" s="633"/>
      <c r="Y46" s="633"/>
      <c r="Z46" s="633"/>
      <c r="AA46" s="633"/>
      <c r="AB46" s="633"/>
      <c r="AC46" s="633"/>
      <c r="AD46" s="633"/>
      <c r="AE46" s="633"/>
      <c r="AF46" s="633"/>
      <c r="AG46" s="633"/>
      <c r="AH46" s="633"/>
      <c r="AI46" s="633"/>
      <c r="AJ46" s="633"/>
      <c r="AK46" s="633"/>
      <c r="AL46" s="633"/>
    </row>
    <row r="47" spans="1:22" s="141" customFormat="1" ht="44.25" customHeight="1">
      <c r="A47" s="660"/>
      <c r="B47" s="52"/>
      <c r="C47" s="662">
        <f t="shared" si="0"/>
        <v>16</v>
      </c>
      <c r="D47" s="1140" t="s">
        <v>1454</v>
      </c>
      <c r="E47" s="1140"/>
      <c r="F47" s="1140"/>
      <c r="G47" s="1140"/>
      <c r="H47" s="1140"/>
      <c r="I47" s="1140"/>
      <c r="J47" s="1140"/>
      <c r="K47" s="1140"/>
      <c r="L47" s="1140"/>
      <c r="M47" s="1140"/>
      <c r="N47" s="1140"/>
      <c r="O47" s="1140"/>
      <c r="P47" s="1140"/>
      <c r="Q47" s="1140"/>
      <c r="R47" s="1140"/>
      <c r="S47" s="1140"/>
      <c r="T47" s="1140"/>
      <c r="U47" s="1140"/>
      <c r="V47" s="52"/>
    </row>
    <row r="48" spans="1:22" s="141" customFormat="1" ht="30" customHeight="1">
      <c r="A48" s="660"/>
      <c r="B48" s="52"/>
      <c r="C48" s="662">
        <f t="shared" si="0"/>
        <v>17</v>
      </c>
      <c r="D48" s="1140" t="s">
        <v>1455</v>
      </c>
      <c r="E48" s="1140"/>
      <c r="F48" s="1140"/>
      <c r="G48" s="1140"/>
      <c r="H48" s="1140"/>
      <c r="I48" s="1140"/>
      <c r="J48" s="1140"/>
      <c r="K48" s="1140"/>
      <c r="L48" s="1140"/>
      <c r="M48" s="1140"/>
      <c r="N48" s="1140"/>
      <c r="O48" s="1140"/>
      <c r="P48" s="1140"/>
      <c r="Q48" s="1140"/>
      <c r="R48" s="1140"/>
      <c r="S48" s="1140"/>
      <c r="T48" s="1140"/>
      <c r="U48" s="1140"/>
      <c r="V48" s="52"/>
    </row>
    <row r="49" spans="1:22" s="141" customFormat="1" ht="74.25" customHeight="1">
      <c r="A49" s="660"/>
      <c r="B49" s="52"/>
      <c r="C49" s="662">
        <f t="shared" si="0"/>
        <v>18</v>
      </c>
      <c r="D49" s="1140" t="s">
        <v>308</v>
      </c>
      <c r="E49" s="1140"/>
      <c r="F49" s="1140"/>
      <c r="G49" s="1140"/>
      <c r="H49" s="1140"/>
      <c r="I49" s="1140"/>
      <c r="J49" s="1140"/>
      <c r="K49" s="1140"/>
      <c r="L49" s="1140"/>
      <c r="M49" s="1140"/>
      <c r="N49" s="1140"/>
      <c r="O49" s="1140"/>
      <c r="P49" s="1140"/>
      <c r="Q49" s="1140"/>
      <c r="R49" s="1140"/>
      <c r="S49" s="1140"/>
      <c r="T49" s="1140"/>
      <c r="U49" s="1140"/>
      <c r="V49" s="52"/>
    </row>
    <row r="50" spans="1:22" s="141" customFormat="1" ht="30" customHeight="1">
      <c r="A50" s="660"/>
      <c r="B50" s="52"/>
      <c r="C50" s="662">
        <f t="shared" si="0"/>
        <v>19</v>
      </c>
      <c r="D50" s="1140" t="s">
        <v>309</v>
      </c>
      <c r="E50" s="1140"/>
      <c r="F50" s="1140"/>
      <c r="G50" s="1140"/>
      <c r="H50" s="1140"/>
      <c r="I50" s="1140"/>
      <c r="J50" s="1140"/>
      <c r="K50" s="1140"/>
      <c r="L50" s="1140"/>
      <c r="M50" s="1140"/>
      <c r="N50" s="1140"/>
      <c r="O50" s="1140"/>
      <c r="P50" s="1140"/>
      <c r="Q50" s="1140"/>
      <c r="R50" s="1140"/>
      <c r="S50" s="1140"/>
      <c r="T50" s="1140"/>
      <c r="U50" s="1140"/>
      <c r="V50" s="52"/>
    </row>
    <row r="51" spans="1:38" s="141" customFormat="1" ht="30.75" customHeight="1">
      <c r="A51" s="660"/>
      <c r="B51" s="52"/>
      <c r="C51" s="661">
        <f t="shared" si="0"/>
        <v>20</v>
      </c>
      <c r="D51" s="1108" t="s">
        <v>1240</v>
      </c>
      <c r="E51" s="1108"/>
      <c r="F51" s="1108"/>
      <c r="G51" s="1108"/>
      <c r="H51" s="1108"/>
      <c r="I51" s="1108"/>
      <c r="J51" s="1108"/>
      <c r="K51" s="1108"/>
      <c r="L51" s="1108"/>
      <c r="M51" s="1108"/>
      <c r="N51" s="1108"/>
      <c r="O51" s="1108"/>
      <c r="P51" s="1108"/>
      <c r="Q51" s="1108"/>
      <c r="R51" s="1108"/>
      <c r="S51" s="1108"/>
      <c r="T51" s="1108"/>
      <c r="U51" s="1108"/>
      <c r="V51" s="1132"/>
      <c r="W51" s="1132"/>
      <c r="X51" s="1132"/>
      <c r="Y51" s="1132"/>
      <c r="Z51" s="1132"/>
      <c r="AA51" s="1132"/>
      <c r="AB51" s="1132"/>
      <c r="AC51" s="1132"/>
      <c r="AD51" s="1132"/>
      <c r="AE51" s="1132"/>
      <c r="AF51" s="1132"/>
      <c r="AG51" s="1132"/>
      <c r="AH51" s="1132"/>
      <c r="AI51" s="1132"/>
      <c r="AJ51" s="1132"/>
      <c r="AK51" s="1132"/>
      <c r="AL51" s="1132"/>
    </row>
    <row r="52" spans="1:38" s="141" customFormat="1" ht="30" customHeight="1">
      <c r="A52" s="660"/>
      <c r="B52" s="52"/>
      <c r="C52" s="661">
        <f t="shared" si="0"/>
        <v>21</v>
      </c>
      <c r="D52" s="1108" t="s">
        <v>310</v>
      </c>
      <c r="E52" s="1108"/>
      <c r="F52" s="1108"/>
      <c r="G52" s="1108"/>
      <c r="H52" s="1108"/>
      <c r="I52" s="1108"/>
      <c r="J52" s="1108"/>
      <c r="K52" s="1108"/>
      <c r="L52" s="1108"/>
      <c r="M52" s="1108"/>
      <c r="N52" s="1108"/>
      <c r="O52" s="1108"/>
      <c r="P52" s="1108"/>
      <c r="Q52" s="1108"/>
      <c r="R52" s="1108"/>
      <c r="S52" s="1108"/>
      <c r="T52" s="1108"/>
      <c r="U52" s="1108"/>
      <c r="V52" s="1132"/>
      <c r="W52" s="1132"/>
      <c r="X52" s="1132"/>
      <c r="Y52" s="1132"/>
      <c r="Z52" s="1132"/>
      <c r="AA52" s="1132"/>
      <c r="AB52" s="1132"/>
      <c r="AC52" s="1132"/>
      <c r="AD52" s="1132"/>
      <c r="AE52" s="1132"/>
      <c r="AF52" s="1132"/>
      <c r="AG52" s="1132"/>
      <c r="AH52" s="1132"/>
      <c r="AI52" s="1132"/>
      <c r="AJ52" s="1132"/>
      <c r="AK52" s="1132"/>
      <c r="AL52" s="1132"/>
    </row>
    <row r="53" spans="1:38" s="141" customFormat="1" ht="44.25" customHeight="1">
      <c r="A53" s="660"/>
      <c r="B53" s="52"/>
      <c r="C53" s="661">
        <f t="shared" si="0"/>
        <v>22</v>
      </c>
      <c r="D53" s="1140" t="s">
        <v>1460</v>
      </c>
      <c r="E53" s="1140"/>
      <c r="F53" s="1140"/>
      <c r="G53" s="1140"/>
      <c r="H53" s="1140"/>
      <c r="I53" s="1140"/>
      <c r="J53" s="1140"/>
      <c r="K53" s="1140"/>
      <c r="L53" s="1140"/>
      <c r="M53" s="1140"/>
      <c r="N53" s="1140"/>
      <c r="O53" s="1140"/>
      <c r="P53" s="1140"/>
      <c r="Q53" s="1140"/>
      <c r="R53" s="1140"/>
      <c r="S53" s="1140"/>
      <c r="T53" s="1140"/>
      <c r="U53" s="1140"/>
      <c r="V53" s="1140"/>
      <c r="W53" s="1140"/>
      <c r="X53" s="1140"/>
      <c r="Y53" s="1140"/>
      <c r="Z53" s="1140"/>
      <c r="AA53" s="1140"/>
      <c r="AB53" s="1140"/>
      <c r="AC53" s="1140"/>
      <c r="AD53" s="1140"/>
      <c r="AE53" s="1140"/>
      <c r="AF53" s="1140"/>
      <c r="AG53" s="1140"/>
      <c r="AH53" s="1140"/>
      <c r="AI53" s="1140"/>
      <c r="AJ53" s="1140"/>
      <c r="AK53" s="1140"/>
      <c r="AL53" s="1140"/>
    </row>
    <row r="54" spans="1:22" s="141" customFormat="1" ht="30" customHeight="1">
      <c r="A54" s="660"/>
      <c r="B54" s="52"/>
      <c r="C54" s="661">
        <f t="shared" si="0"/>
        <v>23</v>
      </c>
      <c r="D54" s="1108" t="s">
        <v>1241</v>
      </c>
      <c r="E54" s="1108"/>
      <c r="F54" s="1108"/>
      <c r="G54" s="1108"/>
      <c r="H54" s="1108"/>
      <c r="I54" s="1108"/>
      <c r="J54" s="1108"/>
      <c r="K54" s="1108"/>
      <c r="L54" s="1108"/>
      <c r="M54" s="1108"/>
      <c r="N54" s="1108"/>
      <c r="O54" s="1108"/>
      <c r="P54" s="1108"/>
      <c r="Q54" s="1108"/>
      <c r="R54" s="1108"/>
      <c r="S54" s="1108"/>
      <c r="T54" s="1108"/>
      <c r="U54" s="1108"/>
      <c r="V54" s="52"/>
    </row>
    <row r="55" spans="1:22" s="141" customFormat="1" ht="43.5" customHeight="1">
      <c r="A55" s="660"/>
      <c r="B55" s="52"/>
      <c r="C55" s="661">
        <f t="shared" si="0"/>
        <v>24</v>
      </c>
      <c r="D55" s="1140" t="s">
        <v>1653</v>
      </c>
      <c r="E55" s="1140"/>
      <c r="F55" s="1140"/>
      <c r="G55" s="1140"/>
      <c r="H55" s="1140"/>
      <c r="I55" s="1140"/>
      <c r="J55" s="1140"/>
      <c r="K55" s="1140"/>
      <c r="L55" s="1140"/>
      <c r="M55" s="1140"/>
      <c r="N55" s="1140"/>
      <c r="O55" s="1140"/>
      <c r="P55" s="1140"/>
      <c r="Q55" s="1140"/>
      <c r="R55" s="1140"/>
      <c r="S55" s="1140"/>
      <c r="T55" s="1140"/>
      <c r="U55" s="1140"/>
      <c r="V55" s="52"/>
    </row>
    <row r="56" spans="1:22" s="141" customFormat="1" ht="6" customHeight="1">
      <c r="A56" s="660"/>
      <c r="B56" s="52"/>
      <c r="C56" s="633"/>
      <c r="D56" s="633"/>
      <c r="E56" s="633"/>
      <c r="F56" s="633"/>
      <c r="G56" s="633"/>
      <c r="H56" s="633"/>
      <c r="I56" s="633"/>
      <c r="J56" s="633"/>
      <c r="K56" s="633"/>
      <c r="L56" s="633"/>
      <c r="M56" s="633"/>
      <c r="N56" s="633"/>
      <c r="O56" s="633"/>
      <c r="P56" s="633"/>
      <c r="Q56" s="633"/>
      <c r="R56" s="633"/>
      <c r="S56" s="633"/>
      <c r="T56" s="633"/>
      <c r="U56" s="38"/>
      <c r="V56" s="52"/>
    </row>
    <row r="57" spans="1:22" s="141" customFormat="1" ht="15.75" customHeight="1">
      <c r="A57" s="1516"/>
      <c r="B57" s="663" t="s">
        <v>314</v>
      </c>
      <c r="C57" s="1395" t="s">
        <v>313</v>
      </c>
      <c r="D57" s="1108"/>
      <c r="E57" s="1108"/>
      <c r="F57" s="1108"/>
      <c r="G57" s="1108"/>
      <c r="H57" s="1108"/>
      <c r="I57" s="1108"/>
      <c r="J57" s="1108"/>
      <c r="K57" s="1108"/>
      <c r="L57" s="1108"/>
      <c r="M57" s="1108"/>
      <c r="N57" s="1108"/>
      <c r="O57" s="1108"/>
      <c r="P57" s="1108"/>
      <c r="Q57" s="1108"/>
      <c r="R57" s="1108"/>
      <c r="S57" s="1108"/>
      <c r="T57" s="1108"/>
      <c r="U57" s="38"/>
      <c r="V57" s="52"/>
    </row>
    <row r="58" spans="1:22" s="141" customFormat="1" ht="76.5" customHeight="1">
      <c r="A58" s="1516"/>
      <c r="B58" s="52"/>
      <c r="C58" s="1108" t="str">
        <f>"Catatan Atas Laporan Keuangan "&amp;'2.ISIAN DATA SKPD'!D2&amp;"Kabupaten Wonosobo Tahun  Anggaran "&amp;'2.ISIAN DATA SKPD'!D11&amp;" disusun agar dapat digunakan oleh pengguna dalam memahami dan membandingkannya dengan laporan keuangan entitas lainnya, Catatan atas Laporan Keuangan sekurang – kurangnya disajikan dengan susunan sebagai berikut :"</f>
        <v>Catatan Atas Laporan Keuangan Kecamatan KaliwiroKabupaten Wonosobo Tahun  Anggaran 2017 disusun agar dapat digunakan oleh pengguna dalam memahami dan membandingkannya dengan laporan keuangan entitas lainnya, Catatan atas Laporan Keuangan sekurang – kurangnya disajikan dengan susunan sebagai berikut :</v>
      </c>
      <c r="D58" s="1108"/>
      <c r="E58" s="1108"/>
      <c r="F58" s="1108"/>
      <c r="G58" s="1108"/>
      <c r="H58" s="1108"/>
      <c r="I58" s="1108"/>
      <c r="J58" s="1108"/>
      <c r="K58" s="1108"/>
      <c r="L58" s="1108"/>
      <c r="M58" s="1108"/>
      <c r="N58" s="1108"/>
      <c r="O58" s="1108"/>
      <c r="P58" s="1108"/>
      <c r="Q58" s="1108"/>
      <c r="R58" s="1108"/>
      <c r="S58" s="1108"/>
      <c r="T58" s="1108"/>
      <c r="U58" s="1108"/>
      <c r="V58" s="52"/>
    </row>
    <row r="59" spans="1:22" s="141" customFormat="1" ht="15" customHeight="1">
      <c r="A59" s="660"/>
      <c r="C59" s="1395" t="s">
        <v>319</v>
      </c>
      <c r="D59" s="1395"/>
      <c r="E59" s="1395"/>
      <c r="F59" s="1395"/>
      <c r="G59" s="1395"/>
      <c r="H59" s="1395"/>
      <c r="I59" s="1395"/>
      <c r="J59" s="1395"/>
      <c r="K59" s="1395"/>
      <c r="L59" s="1395"/>
      <c r="M59" s="1395"/>
      <c r="N59" s="1395"/>
      <c r="O59" s="1395"/>
      <c r="P59" s="1395"/>
      <c r="Q59" s="1395"/>
      <c r="R59" s="1395"/>
      <c r="S59" s="1395"/>
      <c r="T59" s="1395"/>
      <c r="U59" s="38"/>
      <c r="V59" s="52"/>
    </row>
    <row r="60" spans="1:22" s="141" customFormat="1" ht="15.75" customHeight="1">
      <c r="A60" s="660"/>
      <c r="C60" s="1108" t="s">
        <v>320</v>
      </c>
      <c r="D60" s="1108"/>
      <c r="E60" s="1108"/>
      <c r="F60" s="1108"/>
      <c r="G60" s="1108"/>
      <c r="H60" s="1108"/>
      <c r="I60" s="1108"/>
      <c r="J60" s="1108"/>
      <c r="K60" s="1108"/>
      <c r="L60" s="1108"/>
      <c r="M60" s="1108"/>
      <c r="N60" s="1108"/>
      <c r="O60" s="1108"/>
      <c r="P60" s="1108"/>
      <c r="Q60" s="1108"/>
      <c r="R60" s="1108"/>
      <c r="S60" s="1108"/>
      <c r="T60" s="1108"/>
      <c r="V60" s="52"/>
    </row>
    <row r="61" spans="1:22" s="141" customFormat="1" ht="15" customHeight="1">
      <c r="A61" s="660"/>
      <c r="C61" s="1108" t="s">
        <v>321</v>
      </c>
      <c r="D61" s="1108"/>
      <c r="E61" s="1108"/>
      <c r="F61" s="1108"/>
      <c r="G61" s="1108"/>
      <c r="H61" s="1108"/>
      <c r="I61" s="1108"/>
      <c r="J61" s="1108"/>
      <c r="K61" s="1108"/>
      <c r="L61" s="1108"/>
      <c r="M61" s="1108"/>
      <c r="N61" s="1108"/>
      <c r="O61" s="1108"/>
      <c r="P61" s="1108"/>
      <c r="Q61" s="1108"/>
      <c r="R61" s="1108"/>
      <c r="S61" s="1108"/>
      <c r="T61" s="1108"/>
      <c r="V61" s="52"/>
    </row>
    <row r="62" spans="1:22" s="141" customFormat="1" ht="14.25" customHeight="1">
      <c r="A62" s="660"/>
      <c r="C62" s="1108" t="s">
        <v>322</v>
      </c>
      <c r="D62" s="1108"/>
      <c r="E62" s="1108"/>
      <c r="F62" s="1108"/>
      <c r="G62" s="1108"/>
      <c r="H62" s="1108"/>
      <c r="I62" s="1108"/>
      <c r="J62" s="1108"/>
      <c r="K62" s="1108"/>
      <c r="L62" s="1108"/>
      <c r="M62" s="1108"/>
      <c r="N62" s="1108"/>
      <c r="O62" s="1108"/>
      <c r="P62" s="1108"/>
      <c r="Q62" s="1108"/>
      <c r="R62" s="1108"/>
      <c r="S62" s="1108"/>
      <c r="T62" s="1108"/>
      <c r="V62" s="52"/>
    </row>
    <row r="63" spans="1:22" s="141" customFormat="1" ht="15" customHeight="1">
      <c r="A63" s="660"/>
      <c r="C63" s="1395" t="s">
        <v>311</v>
      </c>
      <c r="D63" s="1395"/>
      <c r="E63" s="1395"/>
      <c r="F63" s="1395"/>
      <c r="G63" s="1395"/>
      <c r="H63" s="1395"/>
      <c r="I63" s="1395"/>
      <c r="J63" s="1395"/>
      <c r="K63" s="1395"/>
      <c r="L63" s="1395"/>
      <c r="M63" s="1395"/>
      <c r="N63" s="1395"/>
      <c r="O63" s="1395"/>
      <c r="P63" s="1395"/>
      <c r="Q63" s="1395"/>
      <c r="R63" s="1395"/>
      <c r="S63" s="1395"/>
      <c r="T63" s="1395"/>
      <c r="U63" s="38"/>
      <c r="V63" s="52"/>
    </row>
    <row r="64" spans="1:22" s="141" customFormat="1" ht="15" customHeight="1">
      <c r="A64" s="660"/>
      <c r="C64" s="657" t="s">
        <v>382</v>
      </c>
      <c r="D64" s="1399" t="s">
        <v>1461</v>
      </c>
      <c r="E64" s="1399"/>
      <c r="F64" s="1399"/>
      <c r="G64" s="1399"/>
      <c r="H64" s="1399"/>
      <c r="I64" s="1399"/>
      <c r="J64" s="1399"/>
      <c r="K64" s="1399"/>
      <c r="L64" s="1399"/>
      <c r="M64" s="1399"/>
      <c r="N64" s="1399"/>
      <c r="O64" s="1399"/>
      <c r="P64" s="1399"/>
      <c r="Q64" s="1399"/>
      <c r="R64" s="1399"/>
      <c r="S64" s="1399"/>
      <c r="T64" s="1399"/>
      <c r="V64" s="52"/>
    </row>
    <row r="65" spans="1:22" s="141" customFormat="1" ht="29.25" customHeight="1">
      <c r="A65" s="660"/>
      <c r="C65" s="664" t="s">
        <v>1463</v>
      </c>
      <c r="D65" s="1399" t="s">
        <v>1462</v>
      </c>
      <c r="E65" s="1399"/>
      <c r="F65" s="1399"/>
      <c r="G65" s="1399"/>
      <c r="H65" s="1399"/>
      <c r="I65" s="1399"/>
      <c r="J65" s="1399"/>
      <c r="K65" s="1399"/>
      <c r="L65" s="1399"/>
      <c r="M65" s="1399"/>
      <c r="N65" s="1399"/>
      <c r="O65" s="1399"/>
      <c r="P65" s="1399"/>
      <c r="Q65" s="1399"/>
      <c r="R65" s="1399"/>
      <c r="S65" s="1399"/>
      <c r="T65" s="1399"/>
      <c r="V65" s="52"/>
    </row>
    <row r="66" spans="1:22" s="141" customFormat="1" ht="15" customHeight="1">
      <c r="A66" s="660"/>
      <c r="C66" s="1395" t="s">
        <v>312</v>
      </c>
      <c r="D66" s="1395"/>
      <c r="E66" s="1395"/>
      <c r="F66" s="1395"/>
      <c r="G66" s="1395"/>
      <c r="H66" s="1395"/>
      <c r="I66" s="1395"/>
      <c r="J66" s="1395"/>
      <c r="K66" s="1395"/>
      <c r="L66" s="1395"/>
      <c r="M66" s="1395"/>
      <c r="N66" s="1395"/>
      <c r="O66" s="1395"/>
      <c r="P66" s="1395"/>
      <c r="Q66" s="1395"/>
      <c r="R66" s="1395"/>
      <c r="S66" s="1395"/>
      <c r="T66" s="1395"/>
      <c r="U66" s="639"/>
      <c r="V66" s="52"/>
    </row>
    <row r="67" spans="1:22" s="141" customFormat="1" ht="15" customHeight="1">
      <c r="A67" s="660"/>
      <c r="C67" s="1395" t="s">
        <v>323</v>
      </c>
      <c r="D67" s="1395"/>
      <c r="E67" s="1395"/>
      <c r="F67" s="1395"/>
      <c r="G67" s="1395"/>
      <c r="H67" s="1395"/>
      <c r="I67" s="1395"/>
      <c r="J67" s="1395"/>
      <c r="K67" s="1395"/>
      <c r="L67" s="1395"/>
      <c r="M67" s="1395"/>
      <c r="N67" s="1395"/>
      <c r="O67" s="1395"/>
      <c r="P67" s="1395"/>
      <c r="Q67" s="1395"/>
      <c r="R67" s="1395"/>
      <c r="S67" s="1395"/>
      <c r="T67" s="1395"/>
      <c r="V67" s="52"/>
    </row>
    <row r="68" spans="1:22" s="141" customFormat="1" ht="14.25" customHeight="1">
      <c r="A68" s="660"/>
      <c r="D68" s="1108" t="s">
        <v>324</v>
      </c>
      <c r="E68" s="1108"/>
      <c r="F68" s="1108"/>
      <c r="G68" s="1108"/>
      <c r="H68" s="1108"/>
      <c r="I68" s="1108"/>
      <c r="J68" s="1108"/>
      <c r="K68" s="1108"/>
      <c r="L68" s="1108"/>
      <c r="M68" s="1108"/>
      <c r="N68" s="1108"/>
      <c r="O68" s="1108"/>
      <c r="P68" s="1108"/>
      <c r="Q68" s="1108"/>
      <c r="R68" s="1108"/>
      <c r="S68" s="1108"/>
      <c r="T68" s="1108"/>
      <c r="U68" s="1108"/>
      <c r="V68" s="52"/>
    </row>
    <row r="69" spans="1:22" s="141" customFormat="1" ht="15" customHeight="1">
      <c r="A69" s="660"/>
      <c r="D69" s="1108" t="s">
        <v>1654</v>
      </c>
      <c r="E69" s="1108"/>
      <c r="F69" s="1108"/>
      <c r="G69" s="1108"/>
      <c r="H69" s="1108"/>
      <c r="I69" s="1108"/>
      <c r="J69" s="1108"/>
      <c r="K69" s="1108"/>
      <c r="L69" s="1108"/>
      <c r="M69" s="1108"/>
      <c r="N69" s="1108"/>
      <c r="O69" s="1108"/>
      <c r="P69" s="1108"/>
      <c r="Q69" s="1108"/>
      <c r="R69" s="1108"/>
      <c r="S69" s="1108"/>
      <c r="T69" s="1108"/>
      <c r="U69" s="1108"/>
      <c r="V69" s="52"/>
    </row>
    <row r="70" spans="1:22" s="141" customFormat="1" ht="14.25" customHeight="1">
      <c r="A70" s="660"/>
      <c r="C70" s="1395" t="s">
        <v>1663</v>
      </c>
      <c r="D70" s="1395"/>
      <c r="E70" s="1395"/>
      <c r="F70" s="1395"/>
      <c r="G70" s="1395"/>
      <c r="H70" s="1395"/>
      <c r="I70" s="1395"/>
      <c r="J70" s="1395"/>
      <c r="K70" s="1395"/>
      <c r="L70" s="1395"/>
      <c r="M70" s="1395"/>
      <c r="N70" s="1395"/>
      <c r="O70" s="1395"/>
      <c r="P70" s="1395"/>
      <c r="Q70" s="1395"/>
      <c r="R70" s="1395"/>
      <c r="S70" s="1395"/>
      <c r="T70" s="1395"/>
      <c r="V70" s="52"/>
    </row>
    <row r="71" spans="1:22" s="141" customFormat="1" ht="13.5" customHeight="1">
      <c r="A71" s="660"/>
      <c r="C71" s="639"/>
      <c r="D71" s="1108" t="s">
        <v>1664</v>
      </c>
      <c r="E71" s="1108"/>
      <c r="F71" s="1108"/>
      <c r="G71" s="1108"/>
      <c r="H71" s="1108"/>
      <c r="I71" s="1108"/>
      <c r="J71" s="1108"/>
      <c r="K71" s="1108"/>
      <c r="L71" s="1108"/>
      <c r="M71" s="1108"/>
      <c r="N71" s="1108"/>
      <c r="O71" s="1108"/>
      <c r="P71" s="1108"/>
      <c r="Q71" s="1108"/>
      <c r="R71" s="1108"/>
      <c r="S71" s="1108"/>
      <c r="T71" s="1108"/>
      <c r="U71" s="1108"/>
      <c r="V71" s="52"/>
    </row>
    <row r="72" spans="1:22" s="141" customFormat="1" ht="15.75" customHeight="1">
      <c r="A72" s="660"/>
      <c r="C72" s="639"/>
      <c r="D72" s="1108" t="s">
        <v>1665</v>
      </c>
      <c r="E72" s="1108"/>
      <c r="F72" s="1108"/>
      <c r="G72" s="1108"/>
      <c r="H72" s="1108"/>
      <c r="I72" s="1108"/>
      <c r="J72" s="1108"/>
      <c r="K72" s="1108"/>
      <c r="L72" s="1108"/>
      <c r="M72" s="1108"/>
      <c r="N72" s="1108"/>
      <c r="O72" s="1108"/>
      <c r="P72" s="1108"/>
      <c r="Q72" s="1108"/>
      <c r="R72" s="1108"/>
      <c r="S72" s="1108"/>
      <c r="T72" s="1108"/>
      <c r="U72" s="1108"/>
      <c r="V72" s="52"/>
    </row>
    <row r="73" spans="1:22" s="141" customFormat="1" ht="14.25" customHeight="1">
      <c r="A73" s="660"/>
      <c r="C73" s="639"/>
      <c r="D73" s="1108" t="s">
        <v>1666</v>
      </c>
      <c r="E73" s="1108"/>
      <c r="F73" s="1108"/>
      <c r="G73" s="1108"/>
      <c r="H73" s="1108"/>
      <c r="I73" s="1108"/>
      <c r="J73" s="1108"/>
      <c r="K73" s="1108"/>
      <c r="L73" s="1108"/>
      <c r="M73" s="1108"/>
      <c r="N73" s="1108"/>
      <c r="O73" s="1108"/>
      <c r="P73" s="1108"/>
      <c r="Q73" s="1108"/>
      <c r="R73" s="1108"/>
      <c r="S73" s="1108"/>
      <c r="T73" s="1108"/>
      <c r="U73" s="1108"/>
      <c r="V73" s="52"/>
    </row>
    <row r="74" spans="1:22" s="141" customFormat="1" ht="16.5" customHeight="1">
      <c r="A74" s="660"/>
      <c r="C74" s="1395" t="s">
        <v>1667</v>
      </c>
      <c r="D74" s="1395"/>
      <c r="E74" s="1395"/>
      <c r="F74" s="1395"/>
      <c r="G74" s="1395"/>
      <c r="H74" s="1395"/>
      <c r="I74" s="1395"/>
      <c r="J74" s="1395"/>
      <c r="K74" s="1395"/>
      <c r="L74" s="1395"/>
      <c r="M74" s="1395"/>
      <c r="N74" s="1395"/>
      <c r="O74" s="1395"/>
      <c r="P74" s="1395"/>
      <c r="Q74" s="1395"/>
      <c r="R74" s="1395"/>
      <c r="S74" s="1395"/>
      <c r="T74" s="1395"/>
      <c r="V74" s="52"/>
    </row>
    <row r="75" spans="1:22" s="141" customFormat="1" ht="15.75" customHeight="1">
      <c r="A75" s="660"/>
      <c r="C75" s="639"/>
      <c r="D75" s="1108" t="s">
        <v>1668</v>
      </c>
      <c r="E75" s="1108"/>
      <c r="F75" s="1108"/>
      <c r="G75" s="1108"/>
      <c r="H75" s="1108"/>
      <c r="I75" s="1108"/>
      <c r="J75" s="1108"/>
      <c r="K75" s="1108"/>
      <c r="L75" s="1108"/>
      <c r="M75" s="1108"/>
      <c r="N75" s="1108"/>
      <c r="O75" s="1108"/>
      <c r="P75" s="1108"/>
      <c r="Q75" s="1108"/>
      <c r="R75" s="1108"/>
      <c r="S75" s="1108"/>
      <c r="T75" s="1108"/>
      <c r="U75" s="1108"/>
      <c r="V75" s="52"/>
    </row>
    <row r="76" spans="1:22" s="141" customFormat="1" ht="13.5" customHeight="1">
      <c r="A76" s="660"/>
      <c r="C76" s="639"/>
      <c r="D76" s="1108" t="s">
        <v>1669</v>
      </c>
      <c r="E76" s="1108"/>
      <c r="F76" s="1108"/>
      <c r="G76" s="1108"/>
      <c r="H76" s="1108"/>
      <c r="I76" s="1108"/>
      <c r="J76" s="1108"/>
      <c r="K76" s="1108"/>
      <c r="L76" s="1108"/>
      <c r="M76" s="1108"/>
      <c r="N76" s="1108"/>
      <c r="O76" s="1108"/>
      <c r="P76" s="1108"/>
      <c r="Q76" s="1108"/>
      <c r="R76" s="1108"/>
      <c r="S76" s="1108"/>
      <c r="T76" s="1108"/>
      <c r="U76" s="1108"/>
      <c r="V76" s="52"/>
    </row>
    <row r="77" spans="1:22" s="141" customFormat="1" ht="15" customHeight="1">
      <c r="A77" s="660"/>
      <c r="C77" s="639"/>
      <c r="D77" s="1108" t="s">
        <v>1670</v>
      </c>
      <c r="E77" s="1108"/>
      <c r="F77" s="1108"/>
      <c r="G77" s="1108"/>
      <c r="H77" s="1108"/>
      <c r="I77" s="1108"/>
      <c r="J77" s="1108"/>
      <c r="K77" s="1108"/>
      <c r="L77" s="1108"/>
      <c r="M77" s="1108"/>
      <c r="N77" s="1108"/>
      <c r="O77" s="1108"/>
      <c r="P77" s="1108"/>
      <c r="Q77" s="1108"/>
      <c r="R77" s="1108"/>
      <c r="S77" s="1108"/>
      <c r="T77" s="1108"/>
      <c r="U77" s="1108"/>
      <c r="V77" s="52"/>
    </row>
    <row r="78" spans="1:22" s="141" customFormat="1" ht="16.5" customHeight="1">
      <c r="A78" s="660"/>
      <c r="C78" s="1395" t="s">
        <v>1671</v>
      </c>
      <c r="D78" s="1395"/>
      <c r="E78" s="1395"/>
      <c r="F78" s="1395"/>
      <c r="G78" s="1395"/>
      <c r="H78" s="1395"/>
      <c r="I78" s="1395"/>
      <c r="J78" s="1395"/>
      <c r="K78" s="1395"/>
      <c r="L78" s="1395"/>
      <c r="M78" s="1395"/>
      <c r="N78" s="1395"/>
      <c r="O78" s="1395"/>
      <c r="P78" s="1395"/>
      <c r="Q78" s="1395"/>
      <c r="R78" s="1395"/>
      <c r="S78" s="1395"/>
      <c r="T78" s="1395"/>
      <c r="V78" s="52"/>
    </row>
    <row r="79" spans="1:22" s="141" customFormat="1" ht="16.5" customHeight="1">
      <c r="A79" s="660"/>
      <c r="C79" s="665"/>
      <c r="D79" s="1108" t="s">
        <v>1672</v>
      </c>
      <c r="E79" s="1108"/>
      <c r="F79" s="1108"/>
      <c r="G79" s="1108"/>
      <c r="H79" s="1108"/>
      <c r="I79" s="1108"/>
      <c r="J79" s="1108"/>
      <c r="K79" s="1108"/>
      <c r="L79" s="1108"/>
      <c r="M79" s="1108"/>
      <c r="N79" s="1108"/>
      <c r="O79" s="1108"/>
      <c r="P79" s="1108"/>
      <c r="Q79" s="1108"/>
      <c r="R79" s="1108"/>
      <c r="S79" s="1108"/>
      <c r="T79" s="1108"/>
      <c r="U79" s="1108"/>
      <c r="V79" s="52"/>
    </row>
    <row r="80" spans="1:22" s="141" customFormat="1" ht="16.5" customHeight="1">
      <c r="A80" s="666"/>
      <c r="C80" s="1395" t="s">
        <v>1222</v>
      </c>
      <c r="D80" s="1395"/>
      <c r="E80" s="1395"/>
      <c r="F80" s="1395"/>
      <c r="G80" s="1395"/>
      <c r="H80" s="1395"/>
      <c r="I80" s="1395"/>
      <c r="J80" s="1395"/>
      <c r="K80" s="1395"/>
      <c r="L80" s="1395"/>
      <c r="M80" s="1395"/>
      <c r="N80" s="1395"/>
      <c r="O80" s="1395"/>
      <c r="P80" s="1395"/>
      <c r="Q80" s="1395"/>
      <c r="R80" s="1395"/>
      <c r="S80" s="1395"/>
      <c r="T80" s="1395"/>
      <c r="U80" s="639"/>
      <c r="V80" s="52"/>
    </row>
    <row r="81" spans="1:22" s="141" customFormat="1" ht="16.5" customHeight="1">
      <c r="A81" s="666"/>
      <c r="C81" s="1395" t="s">
        <v>1223</v>
      </c>
      <c r="D81" s="1395"/>
      <c r="E81" s="1395"/>
      <c r="F81" s="1395"/>
      <c r="G81" s="1395"/>
      <c r="H81" s="1395"/>
      <c r="I81" s="1395"/>
      <c r="J81" s="1395"/>
      <c r="K81" s="1395"/>
      <c r="L81" s="1395"/>
      <c r="M81" s="1395"/>
      <c r="N81" s="1395"/>
      <c r="O81" s="1395"/>
      <c r="P81" s="1395"/>
      <c r="Q81" s="1395"/>
      <c r="R81" s="1395"/>
      <c r="S81" s="1395"/>
      <c r="T81" s="1395"/>
      <c r="U81" s="657"/>
      <c r="V81" s="52"/>
    </row>
    <row r="82" spans="1:22" s="141" customFormat="1" ht="16.5" customHeight="1">
      <c r="A82" s="666"/>
      <c r="E82" s="1108"/>
      <c r="F82" s="1108"/>
      <c r="G82" s="1108"/>
      <c r="H82" s="1108"/>
      <c r="I82" s="1108"/>
      <c r="J82" s="1108"/>
      <c r="K82" s="1108"/>
      <c r="L82" s="1108"/>
      <c r="M82" s="1108"/>
      <c r="N82" s="1108"/>
      <c r="O82" s="1108"/>
      <c r="P82" s="1108"/>
      <c r="Q82" s="1108"/>
      <c r="R82" s="1108"/>
      <c r="S82" s="1108"/>
      <c r="T82" s="1108"/>
      <c r="U82" s="1108"/>
      <c r="V82" s="52"/>
    </row>
    <row r="83" spans="1:22" s="141" customFormat="1" ht="16.5" customHeight="1">
      <c r="A83" s="666"/>
      <c r="E83" s="1108"/>
      <c r="F83" s="1108"/>
      <c r="G83" s="1108"/>
      <c r="H83" s="1108"/>
      <c r="I83" s="1108"/>
      <c r="J83" s="1108"/>
      <c r="K83" s="1108"/>
      <c r="L83" s="1108"/>
      <c r="M83" s="1108"/>
      <c r="N83" s="1108"/>
      <c r="O83" s="1108"/>
      <c r="P83" s="1108"/>
      <c r="Q83" s="1108"/>
      <c r="R83" s="1108"/>
      <c r="S83" s="1108"/>
      <c r="T83" s="1108"/>
      <c r="U83" s="1108"/>
      <c r="V83" s="52"/>
    </row>
    <row r="84" spans="1:22" s="141" customFormat="1" ht="16.5" customHeight="1">
      <c r="A84" s="666"/>
      <c r="D84" s="1108"/>
      <c r="E84" s="1108"/>
      <c r="F84" s="1108"/>
      <c r="G84" s="1108"/>
      <c r="H84" s="1108"/>
      <c r="I84" s="1108"/>
      <c r="J84" s="1108"/>
      <c r="K84" s="1108"/>
      <c r="L84" s="1108"/>
      <c r="M84" s="1108"/>
      <c r="N84" s="1108"/>
      <c r="O84" s="1108"/>
      <c r="P84" s="1108"/>
      <c r="Q84" s="1108"/>
      <c r="R84" s="1108"/>
      <c r="S84" s="1108"/>
      <c r="T84" s="1108"/>
      <c r="U84" s="1108"/>
      <c r="V84" s="52"/>
    </row>
    <row r="85" spans="1:22" s="141" customFormat="1" ht="16.5" customHeight="1">
      <c r="A85" s="666"/>
      <c r="D85" s="639"/>
      <c r="E85" s="1108"/>
      <c r="F85" s="1108"/>
      <c r="G85" s="1108"/>
      <c r="H85" s="1108"/>
      <c r="I85" s="1108"/>
      <c r="J85" s="1108"/>
      <c r="K85" s="1108"/>
      <c r="L85" s="1108"/>
      <c r="M85" s="1108"/>
      <c r="N85" s="1108"/>
      <c r="O85" s="1108"/>
      <c r="P85" s="1108"/>
      <c r="Q85" s="1108"/>
      <c r="R85" s="1108"/>
      <c r="S85" s="1108"/>
      <c r="T85" s="1108"/>
      <c r="U85" s="1108"/>
      <c r="V85" s="52"/>
    </row>
    <row r="86" spans="1:22" s="141" customFormat="1" ht="16.5" customHeight="1">
      <c r="A86" s="666"/>
      <c r="D86" s="639"/>
      <c r="E86" s="1108"/>
      <c r="F86" s="1108"/>
      <c r="G86" s="1108"/>
      <c r="H86" s="1108"/>
      <c r="I86" s="1108"/>
      <c r="J86" s="1108"/>
      <c r="K86" s="1108"/>
      <c r="L86" s="1108"/>
      <c r="M86" s="1108"/>
      <c r="N86" s="1108"/>
      <c r="O86" s="1108"/>
      <c r="P86" s="1108"/>
      <c r="Q86" s="1108"/>
      <c r="R86" s="1108"/>
      <c r="S86" s="1108"/>
      <c r="T86" s="1108"/>
      <c r="U86" s="1108"/>
      <c r="V86" s="52"/>
    </row>
    <row r="87" spans="1:22" s="141" customFormat="1" ht="16.5" customHeight="1">
      <c r="A87" s="666"/>
      <c r="D87" s="639"/>
      <c r="E87" s="1108"/>
      <c r="F87" s="1108"/>
      <c r="G87" s="1108"/>
      <c r="H87" s="1108"/>
      <c r="I87" s="1108"/>
      <c r="J87" s="1108"/>
      <c r="K87" s="1108"/>
      <c r="L87" s="1108"/>
      <c r="M87" s="1108"/>
      <c r="N87" s="1108"/>
      <c r="O87" s="1108"/>
      <c r="P87" s="1108"/>
      <c r="Q87" s="1108"/>
      <c r="R87" s="1108"/>
      <c r="S87" s="1108"/>
      <c r="T87" s="1108"/>
      <c r="U87" s="1108"/>
      <c r="V87" s="52"/>
    </row>
    <row r="88" spans="1:22" s="141" customFormat="1" ht="16.5" customHeight="1">
      <c r="A88" s="666"/>
      <c r="D88" s="1108"/>
      <c r="E88" s="1108"/>
      <c r="F88" s="1108"/>
      <c r="G88" s="1108"/>
      <c r="H88" s="1108"/>
      <c r="I88" s="1108"/>
      <c r="J88" s="1108"/>
      <c r="K88" s="1108"/>
      <c r="L88" s="1108"/>
      <c r="M88" s="1108"/>
      <c r="N88" s="1108"/>
      <c r="O88" s="1108"/>
      <c r="P88" s="1108"/>
      <c r="Q88" s="1108"/>
      <c r="R88" s="1108"/>
      <c r="S88" s="1108"/>
      <c r="T88" s="1108"/>
      <c r="U88" s="1108"/>
      <c r="V88" s="52"/>
    </row>
    <row r="89" spans="1:22" s="141" customFormat="1" ht="16.5" customHeight="1">
      <c r="A89" s="666"/>
      <c r="D89" s="639"/>
      <c r="E89" s="1108"/>
      <c r="F89" s="1108"/>
      <c r="G89" s="1108"/>
      <c r="H89" s="1108"/>
      <c r="I89" s="1108"/>
      <c r="J89" s="1108"/>
      <c r="K89" s="1108"/>
      <c r="L89" s="1108"/>
      <c r="M89" s="1108"/>
      <c r="N89" s="1108"/>
      <c r="O89" s="1108"/>
      <c r="P89" s="1108"/>
      <c r="Q89" s="1108"/>
      <c r="R89" s="1108"/>
      <c r="S89" s="1108"/>
      <c r="T89" s="1108"/>
      <c r="U89" s="1108"/>
      <c r="V89" s="52"/>
    </row>
    <row r="90" spans="1:22" s="141" customFormat="1" ht="16.5" customHeight="1">
      <c r="A90" s="666"/>
      <c r="D90" s="639"/>
      <c r="E90" s="1108"/>
      <c r="F90" s="1108"/>
      <c r="G90" s="1108"/>
      <c r="H90" s="1108"/>
      <c r="I90" s="1108"/>
      <c r="J90" s="1108"/>
      <c r="K90" s="1108"/>
      <c r="L90" s="1108"/>
      <c r="M90" s="1108"/>
      <c r="N90" s="1108"/>
      <c r="O90" s="1108"/>
      <c r="P90" s="1108"/>
      <c r="Q90" s="1108"/>
      <c r="R90" s="1108"/>
      <c r="S90" s="1108"/>
      <c r="T90" s="1108"/>
      <c r="U90" s="1108"/>
      <c r="V90" s="52"/>
    </row>
    <row r="91" spans="1:22" s="141" customFormat="1" ht="16.5" customHeight="1">
      <c r="A91" s="666"/>
      <c r="D91" s="639"/>
      <c r="E91" s="1108"/>
      <c r="F91" s="1108"/>
      <c r="G91" s="1108"/>
      <c r="H91" s="1108"/>
      <c r="I91" s="1108"/>
      <c r="J91" s="1108"/>
      <c r="K91" s="1108"/>
      <c r="L91" s="1108"/>
      <c r="M91" s="1108"/>
      <c r="N91" s="1108"/>
      <c r="O91" s="1108"/>
      <c r="P91" s="1108"/>
      <c r="Q91" s="1108"/>
      <c r="R91" s="1108"/>
      <c r="S91" s="1108"/>
      <c r="T91" s="1108"/>
      <c r="U91" s="1108"/>
      <c r="V91" s="52"/>
    </row>
    <row r="92" spans="1:22" s="141" customFormat="1" ht="16.5" customHeight="1">
      <c r="A92" s="666"/>
      <c r="D92" s="1108"/>
      <c r="E92" s="1108"/>
      <c r="F92" s="1108"/>
      <c r="G92" s="1108"/>
      <c r="H92" s="1108"/>
      <c r="I92" s="1108"/>
      <c r="J92" s="1108"/>
      <c r="K92" s="1108"/>
      <c r="L92" s="1108"/>
      <c r="M92" s="1108"/>
      <c r="N92" s="1108"/>
      <c r="O92" s="1108"/>
      <c r="P92" s="1108"/>
      <c r="Q92" s="1108"/>
      <c r="R92" s="1108"/>
      <c r="S92" s="1108"/>
      <c r="T92" s="1108"/>
      <c r="U92" s="1108"/>
      <c r="V92" s="52"/>
    </row>
    <row r="93" spans="1:22" s="141" customFormat="1" ht="16.5" customHeight="1">
      <c r="A93" s="666"/>
      <c r="D93" s="633"/>
      <c r="E93" s="633"/>
      <c r="F93" s="633"/>
      <c r="G93" s="633"/>
      <c r="H93" s="633"/>
      <c r="I93" s="633"/>
      <c r="J93" s="633"/>
      <c r="K93" s="633"/>
      <c r="L93" s="633"/>
      <c r="M93" s="633"/>
      <c r="N93" s="633"/>
      <c r="O93" s="633"/>
      <c r="P93" s="633"/>
      <c r="Q93" s="633"/>
      <c r="R93" s="633"/>
      <c r="S93" s="633"/>
      <c r="T93" s="633"/>
      <c r="U93" s="633"/>
      <c r="V93" s="52"/>
    </row>
    <row r="94" spans="1:22" s="141" customFormat="1" ht="16.5" customHeight="1">
      <c r="A94" s="666"/>
      <c r="D94" s="633"/>
      <c r="E94" s="633"/>
      <c r="F94" s="633"/>
      <c r="G94" s="633"/>
      <c r="H94" s="633"/>
      <c r="I94" s="633"/>
      <c r="J94" s="633"/>
      <c r="K94" s="633"/>
      <c r="L94" s="633"/>
      <c r="M94" s="633"/>
      <c r="N94" s="633"/>
      <c r="O94" s="633"/>
      <c r="P94" s="633"/>
      <c r="Q94" s="633"/>
      <c r="R94" s="633"/>
      <c r="S94" s="633"/>
      <c r="T94" s="633"/>
      <c r="U94" s="633"/>
      <c r="V94" s="52"/>
    </row>
    <row r="95" spans="1:22" s="141" customFormat="1" ht="16.5" customHeight="1">
      <c r="A95" s="666"/>
      <c r="D95" s="633"/>
      <c r="E95" s="633"/>
      <c r="F95" s="633"/>
      <c r="G95" s="633"/>
      <c r="H95" s="633"/>
      <c r="I95" s="633"/>
      <c r="J95" s="633"/>
      <c r="K95" s="633"/>
      <c r="L95" s="633"/>
      <c r="M95" s="633"/>
      <c r="N95" s="633"/>
      <c r="O95" s="633"/>
      <c r="P95" s="633"/>
      <c r="Q95" s="633"/>
      <c r="R95" s="633"/>
      <c r="S95" s="633"/>
      <c r="T95" s="633"/>
      <c r="U95" s="633"/>
      <c r="V95" s="52"/>
    </row>
    <row r="96" spans="1:22" s="141" customFormat="1" ht="16.5" customHeight="1">
      <c r="A96" s="666"/>
      <c r="D96" s="633"/>
      <c r="E96" s="633"/>
      <c r="F96" s="633"/>
      <c r="G96" s="633"/>
      <c r="H96" s="633"/>
      <c r="I96" s="633"/>
      <c r="J96" s="633"/>
      <c r="K96" s="633"/>
      <c r="L96" s="633"/>
      <c r="M96" s="633"/>
      <c r="N96" s="633"/>
      <c r="O96" s="633"/>
      <c r="P96" s="633"/>
      <c r="Q96" s="633"/>
      <c r="R96" s="633"/>
      <c r="S96" s="633"/>
      <c r="T96" s="633"/>
      <c r="U96" s="633"/>
      <c r="V96" s="52"/>
    </row>
    <row r="97" spans="1:22" s="141" customFormat="1" ht="16.5" customHeight="1">
      <c r="A97" s="666"/>
      <c r="D97" s="633"/>
      <c r="E97" s="633"/>
      <c r="F97" s="633"/>
      <c r="G97" s="633"/>
      <c r="H97" s="633"/>
      <c r="I97" s="633"/>
      <c r="J97" s="633"/>
      <c r="K97" s="633"/>
      <c r="L97" s="633"/>
      <c r="M97" s="633"/>
      <c r="N97" s="633"/>
      <c r="O97" s="633"/>
      <c r="P97" s="633"/>
      <c r="Q97" s="633"/>
      <c r="R97" s="633"/>
      <c r="S97" s="633"/>
      <c r="T97" s="633"/>
      <c r="U97" s="633"/>
      <c r="V97" s="52"/>
    </row>
    <row r="98" spans="1:22" s="141" customFormat="1" ht="16.5" customHeight="1">
      <c r="A98" s="666"/>
      <c r="D98" s="633"/>
      <c r="E98" s="633"/>
      <c r="F98" s="633"/>
      <c r="G98" s="633"/>
      <c r="H98" s="633"/>
      <c r="I98" s="633"/>
      <c r="J98" s="633"/>
      <c r="K98" s="633"/>
      <c r="L98" s="633"/>
      <c r="M98" s="633"/>
      <c r="N98" s="633"/>
      <c r="O98" s="633"/>
      <c r="P98" s="633"/>
      <c r="Q98" s="633"/>
      <c r="R98" s="633"/>
      <c r="S98" s="633"/>
      <c r="T98" s="633"/>
      <c r="U98" s="633"/>
      <c r="V98" s="52"/>
    </row>
    <row r="99" spans="1:22" s="141" customFormat="1" ht="16.5" customHeight="1">
      <c r="A99" s="666"/>
      <c r="D99" s="633"/>
      <c r="E99" s="633"/>
      <c r="F99" s="633"/>
      <c r="G99" s="633"/>
      <c r="H99" s="633"/>
      <c r="I99" s="633"/>
      <c r="J99" s="633"/>
      <c r="K99" s="633"/>
      <c r="L99" s="633"/>
      <c r="M99" s="633"/>
      <c r="N99" s="633"/>
      <c r="O99" s="633"/>
      <c r="P99" s="633"/>
      <c r="Q99" s="633"/>
      <c r="R99" s="633"/>
      <c r="S99" s="633"/>
      <c r="T99" s="633"/>
      <c r="U99" s="633"/>
      <c r="V99" s="52"/>
    </row>
    <row r="100" spans="1:22" s="141" customFormat="1" ht="16.5" customHeight="1">
      <c r="A100" s="666"/>
      <c r="D100" s="633"/>
      <c r="E100" s="633"/>
      <c r="F100" s="633"/>
      <c r="G100" s="633"/>
      <c r="H100" s="633"/>
      <c r="I100" s="633"/>
      <c r="J100" s="633"/>
      <c r="K100" s="633"/>
      <c r="L100" s="633"/>
      <c r="M100" s="633"/>
      <c r="N100" s="633"/>
      <c r="O100" s="633"/>
      <c r="P100" s="633"/>
      <c r="Q100" s="633"/>
      <c r="R100" s="633"/>
      <c r="S100" s="633"/>
      <c r="T100" s="633"/>
      <c r="U100" s="633"/>
      <c r="V100" s="52"/>
    </row>
    <row r="101" spans="1:22" s="141" customFormat="1" ht="16.5" customHeight="1">
      <c r="A101" s="666"/>
      <c r="D101" s="633"/>
      <c r="E101" s="633"/>
      <c r="F101" s="633"/>
      <c r="G101" s="633"/>
      <c r="H101" s="633"/>
      <c r="I101" s="633"/>
      <c r="J101" s="633"/>
      <c r="K101" s="633"/>
      <c r="L101" s="633"/>
      <c r="M101" s="633"/>
      <c r="N101" s="633"/>
      <c r="O101" s="633"/>
      <c r="P101" s="633"/>
      <c r="Q101" s="633"/>
      <c r="R101" s="633"/>
      <c r="S101" s="633"/>
      <c r="T101" s="633"/>
      <c r="U101" s="633"/>
      <c r="V101" s="52"/>
    </row>
    <row r="102" spans="1:22" s="141" customFormat="1" ht="16.5" customHeight="1">
      <c r="A102" s="666"/>
      <c r="D102" s="633"/>
      <c r="E102" s="633"/>
      <c r="F102" s="633"/>
      <c r="G102" s="633"/>
      <c r="H102" s="633"/>
      <c r="I102" s="633"/>
      <c r="J102" s="633"/>
      <c r="K102" s="633"/>
      <c r="L102" s="633"/>
      <c r="M102" s="633"/>
      <c r="N102" s="633"/>
      <c r="O102" s="633"/>
      <c r="P102" s="633"/>
      <c r="Q102" s="633"/>
      <c r="R102" s="633"/>
      <c r="S102" s="633"/>
      <c r="T102" s="633"/>
      <c r="U102" s="633"/>
      <c r="V102" s="52"/>
    </row>
    <row r="103" spans="1:22" s="141" customFormat="1" ht="16.5" customHeight="1">
      <c r="A103" s="666"/>
      <c r="D103" s="633"/>
      <c r="E103" s="633"/>
      <c r="F103" s="633"/>
      <c r="G103" s="633"/>
      <c r="H103" s="633"/>
      <c r="I103" s="633"/>
      <c r="J103" s="633"/>
      <c r="K103" s="633"/>
      <c r="L103" s="633"/>
      <c r="M103" s="633"/>
      <c r="N103" s="633"/>
      <c r="O103" s="633"/>
      <c r="P103" s="633"/>
      <c r="Q103" s="633"/>
      <c r="R103" s="633"/>
      <c r="S103" s="633"/>
      <c r="T103" s="633"/>
      <c r="U103" s="633"/>
      <c r="V103" s="52"/>
    </row>
    <row r="104" spans="1:22" s="141" customFormat="1" ht="16.5" customHeight="1">
      <c r="A104" s="666"/>
      <c r="D104" s="633"/>
      <c r="E104" s="633"/>
      <c r="F104" s="633"/>
      <c r="G104" s="633"/>
      <c r="H104" s="633"/>
      <c r="I104" s="633"/>
      <c r="J104" s="633"/>
      <c r="K104" s="633"/>
      <c r="L104" s="633"/>
      <c r="M104" s="633"/>
      <c r="N104" s="633"/>
      <c r="O104" s="633"/>
      <c r="P104" s="633"/>
      <c r="Q104" s="633"/>
      <c r="R104" s="633"/>
      <c r="S104" s="633"/>
      <c r="T104" s="633"/>
      <c r="U104" s="633"/>
      <c r="V104" s="52"/>
    </row>
    <row r="105" spans="1:22" s="141" customFormat="1" ht="16.5" customHeight="1">
      <c r="A105" s="666"/>
      <c r="D105" s="633"/>
      <c r="E105" s="633"/>
      <c r="F105" s="633"/>
      <c r="G105" s="633"/>
      <c r="H105" s="633"/>
      <c r="I105" s="633"/>
      <c r="J105" s="633"/>
      <c r="K105" s="633"/>
      <c r="L105" s="633"/>
      <c r="M105" s="633"/>
      <c r="N105" s="633"/>
      <c r="O105" s="633"/>
      <c r="P105" s="633"/>
      <c r="Q105" s="633"/>
      <c r="R105" s="633"/>
      <c r="S105" s="633"/>
      <c r="T105" s="633"/>
      <c r="U105" s="633"/>
      <c r="V105" s="52"/>
    </row>
    <row r="106" spans="1:22" s="141" customFormat="1" ht="16.5" customHeight="1">
      <c r="A106" s="666"/>
      <c r="D106" s="633"/>
      <c r="E106" s="633"/>
      <c r="F106" s="633"/>
      <c r="G106" s="633"/>
      <c r="H106" s="633"/>
      <c r="I106" s="633"/>
      <c r="J106" s="633"/>
      <c r="K106" s="633"/>
      <c r="L106" s="633"/>
      <c r="M106" s="633"/>
      <c r="N106" s="633"/>
      <c r="O106" s="633"/>
      <c r="P106" s="633"/>
      <c r="Q106" s="633"/>
      <c r="R106" s="633"/>
      <c r="S106" s="633"/>
      <c r="T106" s="633"/>
      <c r="U106" s="633"/>
      <c r="V106" s="52"/>
    </row>
    <row r="107" spans="1:22" s="141" customFormat="1" ht="16.5" customHeight="1">
      <c r="A107" s="666"/>
      <c r="D107" s="633"/>
      <c r="E107" s="633"/>
      <c r="F107" s="633"/>
      <c r="G107" s="633"/>
      <c r="H107" s="633"/>
      <c r="I107" s="633"/>
      <c r="J107" s="633"/>
      <c r="K107" s="633"/>
      <c r="L107" s="633"/>
      <c r="M107" s="633"/>
      <c r="N107" s="633"/>
      <c r="O107" s="633"/>
      <c r="P107" s="633"/>
      <c r="Q107" s="633"/>
      <c r="R107" s="633"/>
      <c r="S107" s="633"/>
      <c r="T107" s="633"/>
      <c r="U107" s="633"/>
      <c r="V107" s="52"/>
    </row>
    <row r="108" spans="1:22" s="141" customFormat="1" ht="16.5" customHeight="1">
      <c r="A108" s="666"/>
      <c r="D108" s="633"/>
      <c r="E108" s="633"/>
      <c r="F108" s="633"/>
      <c r="G108" s="633"/>
      <c r="H108" s="633"/>
      <c r="I108" s="633"/>
      <c r="J108" s="633"/>
      <c r="K108" s="633"/>
      <c r="L108" s="633"/>
      <c r="M108" s="633"/>
      <c r="N108" s="633"/>
      <c r="O108" s="633"/>
      <c r="P108" s="633"/>
      <c r="Q108" s="633"/>
      <c r="R108" s="633"/>
      <c r="S108" s="633"/>
      <c r="T108" s="633"/>
      <c r="U108" s="633"/>
      <c r="V108" s="52"/>
    </row>
    <row r="109" spans="1:22" s="141" customFormat="1" ht="16.5" customHeight="1">
      <c r="A109" s="666"/>
      <c r="D109" s="633"/>
      <c r="E109" s="633"/>
      <c r="F109" s="633"/>
      <c r="G109" s="633"/>
      <c r="H109" s="633"/>
      <c r="I109" s="633"/>
      <c r="J109" s="633"/>
      <c r="K109" s="633"/>
      <c r="L109" s="633"/>
      <c r="M109" s="633"/>
      <c r="N109" s="633"/>
      <c r="O109" s="633"/>
      <c r="P109" s="633"/>
      <c r="Q109" s="633"/>
      <c r="R109" s="633"/>
      <c r="S109" s="633"/>
      <c r="T109" s="633"/>
      <c r="U109" s="633"/>
      <c r="V109" s="52"/>
    </row>
    <row r="110" spans="1:22" s="141" customFormat="1" ht="16.5" customHeight="1">
      <c r="A110" s="666"/>
      <c r="D110" s="633"/>
      <c r="E110" s="633"/>
      <c r="F110" s="633"/>
      <c r="G110" s="633"/>
      <c r="H110" s="633"/>
      <c r="I110" s="633"/>
      <c r="J110" s="633"/>
      <c r="K110" s="633"/>
      <c r="L110" s="633"/>
      <c r="M110" s="633"/>
      <c r="N110" s="633"/>
      <c r="O110" s="633"/>
      <c r="P110" s="633"/>
      <c r="Q110" s="633"/>
      <c r="R110" s="633"/>
      <c r="S110" s="633"/>
      <c r="T110" s="633"/>
      <c r="U110" s="633"/>
      <c r="V110" s="52"/>
    </row>
    <row r="111" spans="1:22" s="141" customFormat="1" ht="198.75" customHeight="1">
      <c r="A111" s="666"/>
      <c r="D111" s="633"/>
      <c r="E111" s="633"/>
      <c r="F111" s="633"/>
      <c r="G111" s="633"/>
      <c r="H111" s="633"/>
      <c r="I111" s="633"/>
      <c r="J111" s="633"/>
      <c r="K111" s="633"/>
      <c r="L111" s="633"/>
      <c r="M111" s="633"/>
      <c r="N111" s="633"/>
      <c r="O111" s="633"/>
      <c r="P111" s="633"/>
      <c r="Q111" s="633"/>
      <c r="R111" s="633"/>
      <c r="S111" s="633"/>
      <c r="T111" s="633"/>
      <c r="U111" s="633"/>
      <c r="V111" s="52"/>
    </row>
    <row r="112" spans="1:22" s="141" customFormat="1" ht="20.25" customHeight="1">
      <c r="A112" s="1503" t="s">
        <v>778</v>
      </c>
      <c r="B112" s="1503"/>
      <c r="C112" s="1503"/>
      <c r="D112" s="1503"/>
      <c r="E112" s="1503"/>
      <c r="F112" s="1503"/>
      <c r="G112" s="1503"/>
      <c r="H112" s="1503"/>
      <c r="I112" s="1503"/>
      <c r="J112" s="1503"/>
      <c r="K112" s="1503"/>
      <c r="L112" s="1503"/>
      <c r="M112" s="1503"/>
      <c r="N112" s="1503"/>
      <c r="O112" s="1503"/>
      <c r="P112" s="1503"/>
      <c r="Q112" s="1503"/>
      <c r="R112" s="1503"/>
      <c r="S112" s="1503"/>
      <c r="T112" s="1503"/>
      <c r="U112" s="1503"/>
      <c r="V112" s="52"/>
    </row>
    <row r="113" spans="1:22" s="141" customFormat="1" ht="12.75" customHeight="1">
      <c r="A113" s="1503" t="s">
        <v>779</v>
      </c>
      <c r="B113" s="1503"/>
      <c r="C113" s="1503"/>
      <c r="D113" s="1503"/>
      <c r="E113" s="1503"/>
      <c r="F113" s="1503"/>
      <c r="G113" s="1503"/>
      <c r="H113" s="1503"/>
      <c r="I113" s="1503"/>
      <c r="J113" s="1503"/>
      <c r="K113" s="1503"/>
      <c r="L113" s="1503"/>
      <c r="M113" s="1503"/>
      <c r="N113" s="1503"/>
      <c r="O113" s="1503"/>
      <c r="P113" s="1503"/>
      <c r="Q113" s="1503"/>
      <c r="R113" s="1503"/>
      <c r="S113" s="1503"/>
      <c r="T113" s="1503"/>
      <c r="U113" s="1503"/>
      <c r="V113" s="52"/>
    </row>
    <row r="114" spans="1:22" s="141" customFormat="1" ht="12.75" customHeight="1">
      <c r="A114" s="667"/>
      <c r="B114" s="668"/>
      <c r="C114" s="668"/>
      <c r="D114" s="669"/>
      <c r="E114" s="654"/>
      <c r="F114" s="654"/>
      <c r="G114" s="654"/>
      <c r="H114" s="654"/>
      <c r="I114" s="654"/>
      <c r="J114" s="654"/>
      <c r="K114" s="654"/>
      <c r="L114" s="654"/>
      <c r="M114" s="654"/>
      <c r="N114" s="654"/>
      <c r="O114" s="654"/>
      <c r="P114" s="654"/>
      <c r="Q114" s="654"/>
      <c r="R114" s="654"/>
      <c r="S114" s="654"/>
      <c r="T114" s="654"/>
      <c r="U114" s="654"/>
      <c r="V114" s="52"/>
    </row>
    <row r="115" spans="1:22" s="141" customFormat="1" ht="15" customHeight="1">
      <c r="A115" s="1573"/>
      <c r="B115" s="643" t="s">
        <v>258</v>
      </c>
      <c r="C115" s="1568" t="s">
        <v>780</v>
      </c>
      <c r="D115" s="1568"/>
      <c r="E115" s="1568"/>
      <c r="F115" s="1568"/>
      <c r="G115" s="1568"/>
      <c r="H115" s="1568"/>
      <c r="I115" s="1568"/>
      <c r="J115" s="1568"/>
      <c r="K115" s="1568"/>
      <c r="L115" s="1568"/>
      <c r="M115" s="1568"/>
      <c r="N115" s="1568"/>
      <c r="O115" s="1568"/>
      <c r="P115" s="1568"/>
      <c r="Q115" s="1568"/>
      <c r="R115" s="1568"/>
      <c r="S115" s="1568"/>
      <c r="T115" s="1568"/>
      <c r="U115" s="1568"/>
      <c r="V115" s="52"/>
    </row>
    <row r="116" spans="1:22" s="141" customFormat="1" ht="17.25" customHeight="1">
      <c r="A116" s="1573"/>
      <c r="B116" s="644" t="str">
        <f>"2.1.1. Ringkasan Laporan Realisasi Anggaran Tahun Anggaran "&amp;'2.ISIAN DATA SKPD'!D11&amp;""</f>
        <v>2.1.1. Ringkasan Laporan Realisasi Anggaran Tahun Anggaran 2017</v>
      </c>
      <c r="C116" s="659"/>
      <c r="D116" s="659"/>
      <c r="E116" s="659"/>
      <c r="F116" s="659"/>
      <c r="G116" s="659"/>
      <c r="H116" s="659"/>
      <c r="I116" s="659"/>
      <c r="J116" s="659"/>
      <c r="K116" s="659"/>
      <c r="L116" s="659"/>
      <c r="M116" s="659"/>
      <c r="N116" s="659"/>
      <c r="O116" s="659"/>
      <c r="P116" s="659"/>
      <c r="Q116" s="659"/>
      <c r="R116" s="659"/>
      <c r="S116" s="659"/>
      <c r="T116" s="659"/>
      <c r="U116" s="659"/>
      <c r="V116" s="52"/>
    </row>
    <row r="117" spans="1:22" s="141" customFormat="1" ht="33.75" customHeight="1">
      <c r="A117" s="1573"/>
      <c r="B117" s="668"/>
      <c r="C117" s="1504" t="str">
        <f>"Selama periode berjalan, "&amp;'2.ISIAN DATA SKPD'!D2&amp;" telah mengadakan revisi Dokumen Pelaksanaan  Anggaran Perubahan (DPAP) dari DPA awal. "</f>
        <v>Selama periode berjalan, Kecamatan Kaliwiro telah mengadakan revisi Dokumen Pelaksanaan  Anggaran Perubahan (DPAP) dari DPA awal. </v>
      </c>
      <c r="D117" s="1504"/>
      <c r="E117" s="1504"/>
      <c r="F117" s="1504"/>
      <c r="G117" s="1504"/>
      <c r="H117" s="1504"/>
      <c r="I117" s="1504"/>
      <c r="J117" s="1504"/>
      <c r="K117" s="1504"/>
      <c r="L117" s="1504"/>
      <c r="M117" s="1504"/>
      <c r="N117" s="1504"/>
      <c r="O117" s="1504"/>
      <c r="P117" s="1504"/>
      <c r="Q117" s="1504"/>
      <c r="R117" s="1504"/>
      <c r="S117" s="1504"/>
      <c r="T117" s="1504"/>
      <c r="U117" s="1504"/>
      <c r="V117" s="52"/>
    </row>
    <row r="118" spans="1:22" s="141" customFormat="1" ht="77.25" customHeight="1">
      <c r="A118" s="1573"/>
      <c r="B118" s="668"/>
      <c r="C118" s="1504" t="s">
        <v>118</v>
      </c>
      <c r="D118" s="1504"/>
      <c r="E118" s="1504"/>
      <c r="F118" s="1504"/>
      <c r="G118" s="1504"/>
      <c r="H118" s="1504"/>
      <c r="I118" s="1504"/>
      <c r="J118" s="1504"/>
      <c r="K118" s="1504"/>
      <c r="L118" s="1504"/>
      <c r="M118" s="1504"/>
      <c r="N118" s="1504"/>
      <c r="O118" s="1504"/>
      <c r="P118" s="1504"/>
      <c r="Q118" s="1504"/>
      <c r="R118" s="1504"/>
      <c r="S118" s="1504"/>
      <c r="T118" s="1504"/>
      <c r="U118" s="1504"/>
      <c r="V118" s="52"/>
    </row>
    <row r="119" spans="1:22" s="141" customFormat="1" ht="6" customHeight="1">
      <c r="A119" s="670"/>
      <c r="B119" s="668"/>
      <c r="C119" s="671"/>
      <c r="D119" s="671"/>
      <c r="E119" s="671"/>
      <c r="F119" s="671"/>
      <c r="G119" s="671"/>
      <c r="H119" s="671"/>
      <c r="I119" s="671"/>
      <c r="J119" s="671"/>
      <c r="K119" s="671"/>
      <c r="L119" s="671"/>
      <c r="M119" s="671"/>
      <c r="N119" s="671"/>
      <c r="O119" s="671"/>
      <c r="P119" s="671"/>
      <c r="Q119" s="671"/>
      <c r="R119" s="671"/>
      <c r="S119" s="671"/>
      <c r="T119" s="671"/>
      <c r="U119" s="671"/>
      <c r="V119" s="52"/>
    </row>
    <row r="120" spans="1:22" s="141" customFormat="1" ht="15.75" customHeight="1">
      <c r="A120" s="1375" t="s">
        <v>9</v>
      </c>
      <c r="B120" s="1376"/>
      <c r="C120" s="1376"/>
      <c r="D120" s="1376"/>
      <c r="E120" s="1376"/>
      <c r="F120" s="1377"/>
      <c r="G120" s="1097" t="s">
        <v>1464</v>
      </c>
      <c r="H120" s="1098"/>
      <c r="I120" s="1098"/>
      <c r="J120" s="1098"/>
      <c r="K120" s="1099"/>
      <c r="L120" s="1254" t="s">
        <v>1242</v>
      </c>
      <c r="M120" s="1255"/>
      <c r="N120" s="1255"/>
      <c r="O120" s="1255"/>
      <c r="P120" s="1256"/>
      <c r="Q120" s="1254" t="s">
        <v>1465</v>
      </c>
      <c r="R120" s="1255"/>
      <c r="S120" s="1255"/>
      <c r="T120" s="1255"/>
      <c r="U120" s="1256"/>
      <c r="V120" s="52"/>
    </row>
    <row r="121" spans="1:22" s="141" customFormat="1" ht="13.5" customHeight="1">
      <c r="A121" s="1378"/>
      <c r="B121" s="1379"/>
      <c r="C121" s="1379"/>
      <c r="D121" s="1379"/>
      <c r="E121" s="1379"/>
      <c r="F121" s="1380"/>
      <c r="G121" s="1381"/>
      <c r="H121" s="1382"/>
      <c r="I121" s="1382"/>
      <c r="J121" s="1382"/>
      <c r="K121" s="1383"/>
      <c r="L121" s="1257"/>
      <c r="M121" s="1258"/>
      <c r="N121" s="1258"/>
      <c r="O121" s="1258"/>
      <c r="P121" s="1259"/>
      <c r="Q121" s="1257"/>
      <c r="R121" s="1258"/>
      <c r="S121" s="1258"/>
      <c r="T121" s="1258"/>
      <c r="U121" s="1259"/>
      <c r="V121" s="52"/>
    </row>
    <row r="122" spans="1:22" s="141" customFormat="1" ht="21" customHeight="1">
      <c r="A122" s="103" t="s">
        <v>119</v>
      </c>
      <c r="B122" s="139"/>
      <c r="C122" s="634"/>
      <c r="D122" s="634"/>
      <c r="E122" s="634"/>
      <c r="F122" s="634"/>
      <c r="G122" s="1307"/>
      <c r="H122" s="1308"/>
      <c r="I122" s="1308"/>
      <c r="J122" s="1308"/>
      <c r="K122" s="1309"/>
      <c r="L122" s="1304"/>
      <c r="M122" s="1305"/>
      <c r="N122" s="1305"/>
      <c r="O122" s="1305"/>
      <c r="P122" s="1306"/>
      <c r="Q122" s="1304"/>
      <c r="R122" s="1305"/>
      <c r="S122" s="1305"/>
      <c r="T122" s="1305"/>
      <c r="U122" s="1306"/>
      <c r="V122" s="52"/>
    </row>
    <row r="123" spans="1:22" s="141" customFormat="1" ht="16.5" customHeight="1">
      <c r="A123" s="672" t="s">
        <v>1466</v>
      </c>
      <c r="B123" s="139"/>
      <c r="D123" s="673"/>
      <c r="E123" s="673"/>
      <c r="F123" s="673"/>
      <c r="G123" s="1296">
        <f>'3.LRA'!D5</f>
        <v>0</v>
      </c>
      <c r="H123" s="1297"/>
      <c r="I123" s="1297"/>
      <c r="J123" s="1297"/>
      <c r="K123" s="1298"/>
      <c r="L123" s="1296">
        <f>'3.LRA'!E5</f>
        <v>0</v>
      </c>
      <c r="M123" s="1297"/>
      <c r="N123" s="1297"/>
      <c r="O123" s="1297"/>
      <c r="P123" s="1298"/>
      <c r="Q123" s="1296">
        <f aca="true" t="shared" si="1" ref="Q123:Q131">L123-G123</f>
        <v>0</v>
      </c>
      <c r="R123" s="1297"/>
      <c r="S123" s="1297"/>
      <c r="T123" s="1297"/>
      <c r="U123" s="1298"/>
      <c r="V123" s="52"/>
    </row>
    <row r="124" spans="1:22" s="141" customFormat="1" ht="15.75" customHeight="1">
      <c r="A124" s="674" t="s">
        <v>1467</v>
      </c>
      <c r="B124" s="139"/>
      <c r="C124" s="139"/>
      <c r="D124" s="675"/>
      <c r="E124" s="675"/>
      <c r="F124" s="675"/>
      <c r="G124" s="1296">
        <f>'3.LRA'!D6</f>
        <v>0</v>
      </c>
      <c r="H124" s="1297"/>
      <c r="I124" s="1297"/>
      <c r="J124" s="1297"/>
      <c r="K124" s="1298"/>
      <c r="L124" s="1296">
        <f>'3.LRA'!E6</f>
        <v>0</v>
      </c>
      <c r="M124" s="1297"/>
      <c r="N124" s="1297"/>
      <c r="O124" s="1297"/>
      <c r="P124" s="1298"/>
      <c r="Q124" s="1296">
        <f t="shared" si="1"/>
        <v>0</v>
      </c>
      <c r="R124" s="1297"/>
      <c r="S124" s="1297"/>
      <c r="T124" s="1297"/>
      <c r="U124" s="1298"/>
      <c r="V124" s="52"/>
    </row>
    <row r="125" spans="1:22" s="141" customFormat="1" ht="15.75" customHeight="1">
      <c r="A125" s="674" t="s">
        <v>1468</v>
      </c>
      <c r="B125" s="139"/>
      <c r="C125" s="139"/>
      <c r="D125" s="675"/>
      <c r="E125" s="675"/>
      <c r="F125" s="675"/>
      <c r="G125" s="1296">
        <f>'3.LRA'!D7</f>
        <v>0</v>
      </c>
      <c r="H125" s="1297"/>
      <c r="I125" s="1297"/>
      <c r="J125" s="1297"/>
      <c r="K125" s="1298"/>
      <c r="L125" s="1296">
        <f>'3.LRA'!E7</f>
        <v>0</v>
      </c>
      <c r="M125" s="1297"/>
      <c r="N125" s="1297"/>
      <c r="O125" s="1297"/>
      <c r="P125" s="1298"/>
      <c r="Q125" s="1296">
        <f t="shared" si="1"/>
        <v>0</v>
      </c>
      <c r="R125" s="1297"/>
      <c r="S125" s="1297"/>
      <c r="T125" s="1297"/>
      <c r="U125" s="1298"/>
      <c r="V125" s="52"/>
    </row>
    <row r="126" spans="1:22" s="141" customFormat="1" ht="15.75" customHeight="1">
      <c r="A126" s="676" t="s">
        <v>51</v>
      </c>
      <c r="B126" s="139"/>
      <c r="C126" s="677"/>
      <c r="D126" s="677"/>
      <c r="E126" s="677"/>
      <c r="F126" s="677"/>
      <c r="G126" s="1296">
        <f>SUM(G123:K125)</f>
        <v>0</v>
      </c>
      <c r="H126" s="1297"/>
      <c r="I126" s="1297"/>
      <c r="J126" s="1297"/>
      <c r="K126" s="1298"/>
      <c r="L126" s="1296">
        <f>SUM(L123:P125)</f>
        <v>0</v>
      </c>
      <c r="M126" s="1297"/>
      <c r="N126" s="1297"/>
      <c r="O126" s="1297"/>
      <c r="P126" s="1298"/>
      <c r="Q126" s="1296">
        <f t="shared" si="1"/>
        <v>0</v>
      </c>
      <c r="R126" s="1297"/>
      <c r="S126" s="1297"/>
      <c r="T126" s="1297"/>
      <c r="U126" s="1298"/>
      <c r="V126" s="52"/>
    </row>
    <row r="127" spans="1:22" s="141" customFormat="1" ht="15.75" customHeight="1">
      <c r="A127" s="676" t="s">
        <v>111</v>
      </c>
      <c r="B127" s="139"/>
      <c r="C127" s="677"/>
      <c r="D127" s="677"/>
      <c r="E127" s="677"/>
      <c r="F127" s="677"/>
      <c r="G127" s="1325"/>
      <c r="H127" s="1326"/>
      <c r="I127" s="1326"/>
      <c r="J127" s="1326"/>
      <c r="K127" s="1326"/>
      <c r="L127" s="1297"/>
      <c r="M127" s="1297"/>
      <c r="N127" s="1297"/>
      <c r="O127" s="1297"/>
      <c r="P127" s="1298"/>
      <c r="Q127" s="1296">
        <f t="shared" si="1"/>
        <v>0</v>
      </c>
      <c r="R127" s="1297"/>
      <c r="S127" s="1297"/>
      <c r="T127" s="1297"/>
      <c r="U127" s="1298"/>
      <c r="V127" s="52"/>
    </row>
    <row r="128" spans="1:22" s="141" customFormat="1" ht="15.75" customHeight="1">
      <c r="A128" s="674" t="s">
        <v>1469</v>
      </c>
      <c r="B128" s="139"/>
      <c r="C128" s="139"/>
      <c r="D128" s="678"/>
      <c r="E128" s="678"/>
      <c r="F128" s="678"/>
      <c r="G128" s="1296">
        <f>'3.LRA'!D10</f>
        <v>3470534508</v>
      </c>
      <c r="H128" s="1297"/>
      <c r="I128" s="1297"/>
      <c r="J128" s="1297"/>
      <c r="K128" s="1298"/>
      <c r="L128" s="1296">
        <f>'3.LRA'!E10</f>
        <v>3470534508</v>
      </c>
      <c r="M128" s="1297"/>
      <c r="N128" s="1297"/>
      <c r="O128" s="1297"/>
      <c r="P128" s="1298"/>
      <c r="Q128" s="1299">
        <f t="shared" si="1"/>
        <v>0</v>
      </c>
      <c r="R128" s="1300"/>
      <c r="S128" s="1300"/>
      <c r="T128" s="1300"/>
      <c r="U128" s="1301"/>
      <c r="V128" s="52"/>
    </row>
    <row r="129" spans="1:22" s="141" customFormat="1" ht="15.75" customHeight="1">
      <c r="A129" s="674" t="s">
        <v>1470</v>
      </c>
      <c r="B129" s="139"/>
      <c r="C129" s="139"/>
      <c r="D129" s="678"/>
      <c r="E129" s="678"/>
      <c r="F129" s="678"/>
      <c r="G129" s="1296">
        <f>'3.LRA'!D11</f>
        <v>6301500000</v>
      </c>
      <c r="H129" s="1297"/>
      <c r="I129" s="1297"/>
      <c r="J129" s="1297"/>
      <c r="K129" s="1298"/>
      <c r="L129" s="1296">
        <f>'3.LRA'!E11</f>
        <v>6301500000</v>
      </c>
      <c r="M129" s="1297"/>
      <c r="N129" s="1297"/>
      <c r="O129" s="1297"/>
      <c r="P129" s="1298"/>
      <c r="Q129" s="1296">
        <f t="shared" si="1"/>
        <v>0</v>
      </c>
      <c r="R129" s="1297"/>
      <c r="S129" s="1297"/>
      <c r="T129" s="1297"/>
      <c r="U129" s="1298"/>
      <c r="V129" s="52"/>
    </row>
    <row r="130" spans="1:22" s="141" customFormat="1" ht="15.75" customHeight="1">
      <c r="A130" s="674" t="s">
        <v>1471</v>
      </c>
      <c r="B130" s="139"/>
      <c r="C130" s="139"/>
      <c r="D130" s="678"/>
      <c r="E130" s="678"/>
      <c r="F130" s="678"/>
      <c r="G130" s="1296">
        <f>'3.LRA'!D12</f>
        <v>0</v>
      </c>
      <c r="H130" s="1297"/>
      <c r="I130" s="1297"/>
      <c r="J130" s="1297"/>
      <c r="K130" s="1298"/>
      <c r="L130" s="1296">
        <f>'3.LRA'!E12</f>
        <v>0</v>
      </c>
      <c r="M130" s="1297"/>
      <c r="N130" s="1297"/>
      <c r="O130" s="1297"/>
      <c r="P130" s="1298"/>
      <c r="Q130" s="1296">
        <f t="shared" si="1"/>
        <v>0</v>
      </c>
      <c r="R130" s="1297"/>
      <c r="S130" s="1297"/>
      <c r="T130" s="1297"/>
      <c r="U130" s="1298"/>
      <c r="V130" s="52"/>
    </row>
    <row r="131" spans="1:22" s="141" customFormat="1" ht="15.75" customHeight="1">
      <c r="A131" s="674" t="s">
        <v>1472</v>
      </c>
      <c r="B131" s="139"/>
      <c r="C131" s="139"/>
      <c r="D131" s="678"/>
      <c r="E131" s="678"/>
      <c r="F131" s="678"/>
      <c r="G131" s="1296">
        <f>'3.LRA'!D13</f>
        <v>0</v>
      </c>
      <c r="H131" s="1297"/>
      <c r="I131" s="1297"/>
      <c r="J131" s="1297"/>
      <c r="K131" s="1298"/>
      <c r="L131" s="1296">
        <f>'3.LRA'!E13</f>
        <v>0</v>
      </c>
      <c r="M131" s="1297"/>
      <c r="N131" s="1297"/>
      <c r="O131" s="1297"/>
      <c r="P131" s="1298"/>
      <c r="Q131" s="1296">
        <f t="shared" si="1"/>
        <v>0</v>
      </c>
      <c r="R131" s="1297"/>
      <c r="S131" s="1297"/>
      <c r="T131" s="1297"/>
      <c r="U131" s="1298"/>
      <c r="V131" s="52"/>
    </row>
    <row r="132" spans="1:22" s="141" customFormat="1" ht="15.75" customHeight="1">
      <c r="A132" s="676" t="s">
        <v>120</v>
      </c>
      <c r="B132" s="139"/>
      <c r="C132" s="677"/>
      <c r="D132" s="677"/>
      <c r="E132" s="677"/>
      <c r="F132" s="677"/>
      <c r="G132" s="1296">
        <f>SUM(G128:K131)</f>
        <v>9772034508</v>
      </c>
      <c r="H132" s="1297"/>
      <c r="I132" s="1297"/>
      <c r="J132" s="1297"/>
      <c r="K132" s="1298"/>
      <c r="L132" s="1296">
        <f>SUM(L128:P131)</f>
        <v>9772034508</v>
      </c>
      <c r="M132" s="1297"/>
      <c r="N132" s="1297"/>
      <c r="O132" s="1297"/>
      <c r="P132" s="1298"/>
      <c r="Q132" s="1299">
        <f>SUM(Q128:U131)</f>
        <v>0</v>
      </c>
      <c r="R132" s="1300"/>
      <c r="S132" s="1300"/>
      <c r="T132" s="1300"/>
      <c r="U132" s="1301"/>
      <c r="V132" s="52"/>
    </row>
    <row r="133" spans="1:22" s="141" customFormat="1" ht="15.75" customHeight="1">
      <c r="A133" s="676" t="s">
        <v>1243</v>
      </c>
      <c r="B133" s="139"/>
      <c r="C133" s="677"/>
      <c r="D133" s="677"/>
      <c r="E133" s="677"/>
      <c r="F133" s="677"/>
      <c r="G133" s="1296">
        <f>G126-G132</f>
        <v>-9772034508</v>
      </c>
      <c r="H133" s="1297"/>
      <c r="I133" s="1297"/>
      <c r="J133" s="1297"/>
      <c r="K133" s="1298"/>
      <c r="L133" s="1296">
        <f>L126-L132</f>
        <v>-9772034508</v>
      </c>
      <c r="M133" s="1297"/>
      <c r="N133" s="1297"/>
      <c r="O133" s="1297"/>
      <c r="P133" s="1298"/>
      <c r="Q133" s="1299">
        <f>Q126-Q132</f>
        <v>0</v>
      </c>
      <c r="R133" s="1300"/>
      <c r="S133" s="1300"/>
      <c r="T133" s="1300"/>
      <c r="U133" s="1301"/>
      <c r="V133" s="52"/>
    </row>
    <row r="134" spans="1:22" s="141" customFormat="1" ht="5.25" customHeight="1">
      <c r="A134" s="650"/>
      <c r="B134" s="104"/>
      <c r="C134" s="104"/>
      <c r="D134" s="104"/>
      <c r="E134" s="104"/>
      <c r="F134" s="104"/>
      <c r="G134" s="104"/>
      <c r="H134" s="104"/>
      <c r="I134" s="104"/>
      <c r="J134" s="73"/>
      <c r="K134" s="73"/>
      <c r="L134" s="73"/>
      <c r="M134" s="73"/>
      <c r="N134" s="73"/>
      <c r="O134" s="73"/>
      <c r="P134" s="73"/>
      <c r="Q134" s="73"/>
      <c r="R134" s="73"/>
      <c r="S134" s="73"/>
      <c r="T134" s="73"/>
      <c r="U134" s="73"/>
      <c r="V134" s="52"/>
    </row>
    <row r="135" spans="1:39" s="141" customFormat="1" ht="45" customHeight="1">
      <c r="A135" s="650"/>
      <c r="B135" s="104"/>
      <c r="C135" s="1059" t="str">
        <f>"Realisasi Pendapatan, Belanja dan Pembiayaan untuk periode yang berakhir pada tanggal "&amp;'2.ISIAN DATA SKPD'!D10&amp;" sebagaimana tabel dibawah ini :"</f>
        <v>Realisasi Pendapatan, Belanja dan Pembiayaan untuk periode yang berakhir pada tanggal 31 Desember 2017 sebagaimana tabel dibawah ini :</v>
      </c>
      <c r="D135" s="1059"/>
      <c r="E135" s="1059"/>
      <c r="F135" s="1059"/>
      <c r="G135" s="1059"/>
      <c r="H135" s="1059"/>
      <c r="I135" s="1059"/>
      <c r="J135" s="1059"/>
      <c r="K135" s="1059"/>
      <c r="L135" s="1059"/>
      <c r="M135" s="1059"/>
      <c r="N135" s="1059"/>
      <c r="O135" s="1059"/>
      <c r="P135" s="1059"/>
      <c r="Q135" s="1059"/>
      <c r="R135" s="1059"/>
      <c r="S135" s="1059"/>
      <c r="T135" s="1059"/>
      <c r="U135" s="1059"/>
      <c r="V135" s="1703"/>
      <c r="W135" s="1703"/>
      <c r="X135" s="1703"/>
      <c r="Y135" s="1703"/>
      <c r="Z135" s="1703"/>
      <c r="AA135" s="1703"/>
      <c r="AB135" s="1703"/>
      <c r="AC135" s="1703"/>
      <c r="AD135" s="1703"/>
      <c r="AE135" s="1703"/>
      <c r="AF135" s="1703"/>
      <c r="AG135" s="1703"/>
      <c r="AH135" s="1703"/>
      <c r="AI135" s="1703"/>
      <c r="AJ135" s="1703"/>
      <c r="AK135" s="1703"/>
      <c r="AL135" s="1703"/>
      <c r="AM135" s="1703"/>
    </row>
    <row r="136" spans="1:39" s="141" customFormat="1" ht="5.25" customHeight="1">
      <c r="A136" s="650"/>
      <c r="B136" s="104"/>
      <c r="C136" s="679"/>
      <c r="D136" s="679"/>
      <c r="E136" s="679"/>
      <c r="F136" s="679"/>
      <c r="G136" s="679"/>
      <c r="H136" s="679"/>
      <c r="I136" s="679"/>
      <c r="J136" s="679"/>
      <c r="K136" s="679"/>
      <c r="L136" s="679"/>
      <c r="M136" s="679"/>
      <c r="N136" s="679"/>
      <c r="O136" s="679"/>
      <c r="P136" s="679"/>
      <c r="Q136" s="679"/>
      <c r="R136" s="679"/>
      <c r="S136" s="679"/>
      <c r="T136" s="679"/>
      <c r="U136" s="679"/>
      <c r="V136" s="680"/>
      <c r="W136" s="680"/>
      <c r="X136" s="680"/>
      <c r="Y136" s="680"/>
      <c r="Z136" s="680"/>
      <c r="AA136" s="680"/>
      <c r="AB136" s="680"/>
      <c r="AC136" s="680"/>
      <c r="AD136" s="680"/>
      <c r="AE136" s="680"/>
      <c r="AF136" s="680"/>
      <c r="AG136" s="680"/>
      <c r="AH136" s="680"/>
      <c r="AI136" s="680"/>
      <c r="AJ136" s="680"/>
      <c r="AK136" s="680"/>
      <c r="AL136" s="680"/>
      <c r="AM136" s="680"/>
    </row>
    <row r="137" spans="1:22" s="141" customFormat="1" ht="15.75" customHeight="1">
      <c r="A137" s="1616" t="str">
        <f>"Ikhtisar Anggaran dan Realisasi TA "&amp;'2.ISIAN DATA SKPD'!D11&amp;""</f>
        <v>Ikhtisar Anggaran dan Realisasi TA 2017</v>
      </c>
      <c r="B137" s="1616"/>
      <c r="C137" s="1616"/>
      <c r="D137" s="1616"/>
      <c r="E137" s="1616"/>
      <c r="F137" s="1616"/>
      <c r="G137" s="1616"/>
      <c r="H137" s="1616"/>
      <c r="I137" s="1616"/>
      <c r="J137" s="1616"/>
      <c r="K137" s="1616"/>
      <c r="L137" s="1616"/>
      <c r="M137" s="1616"/>
      <c r="N137" s="1616"/>
      <c r="O137" s="1616"/>
      <c r="P137" s="1616"/>
      <c r="Q137" s="1616"/>
      <c r="R137" s="1616"/>
      <c r="S137" s="1616"/>
      <c r="T137" s="1616"/>
      <c r="U137" s="1616"/>
      <c r="V137" s="52"/>
    </row>
    <row r="138" spans="1:22" s="141" customFormat="1" ht="32.25" customHeight="1">
      <c r="A138" s="1375" t="s">
        <v>9</v>
      </c>
      <c r="B138" s="1376"/>
      <c r="C138" s="1376"/>
      <c r="D138" s="1377"/>
      <c r="E138" s="1097" t="s">
        <v>1473</v>
      </c>
      <c r="F138" s="1098"/>
      <c r="G138" s="1098"/>
      <c r="H138" s="1098"/>
      <c r="I138" s="1098"/>
      <c r="J138" s="1099"/>
      <c r="K138" s="1254" t="str">
        <f>"Realisasi TA "&amp;'2.ISIAN DATA SKPD'!D11&amp;""</f>
        <v>Realisasi TA 2017</v>
      </c>
      <c r="L138" s="1255"/>
      <c r="M138" s="1255"/>
      <c r="N138" s="1255"/>
      <c r="O138" s="1256"/>
      <c r="P138" s="1077" t="s">
        <v>1475</v>
      </c>
      <c r="Q138" s="1077"/>
      <c r="R138" s="1077"/>
      <c r="S138" s="1077"/>
      <c r="T138" s="1077" t="s">
        <v>1691</v>
      </c>
      <c r="U138" s="1077"/>
      <c r="V138" s="52"/>
    </row>
    <row r="139" spans="1:22" s="141" customFormat="1" ht="15.75" customHeight="1">
      <c r="A139" s="103" t="s">
        <v>1480</v>
      </c>
      <c r="B139" s="634"/>
      <c r="C139" s="634"/>
      <c r="D139" s="634"/>
      <c r="E139" s="1314"/>
      <c r="F139" s="1315"/>
      <c r="G139" s="1315"/>
      <c r="H139" s="1315"/>
      <c r="I139" s="1315"/>
      <c r="J139" s="1316"/>
      <c r="K139" s="1384"/>
      <c r="L139" s="1385"/>
      <c r="M139" s="1385"/>
      <c r="N139" s="1385"/>
      <c r="O139" s="1386"/>
      <c r="P139" s="1078"/>
      <c r="Q139" s="1078"/>
      <c r="R139" s="1078"/>
      <c r="S139" s="1078"/>
      <c r="T139" s="1077"/>
      <c r="U139" s="1077"/>
      <c r="V139" s="52"/>
    </row>
    <row r="140" spans="1:22" s="141" customFormat="1" ht="15.75" customHeight="1">
      <c r="A140" s="672" t="s">
        <v>119</v>
      </c>
      <c r="C140" s="673"/>
      <c r="D140" s="673"/>
      <c r="E140" s="1321">
        <f>'3.LRA'!D18</f>
        <v>0</v>
      </c>
      <c r="F140" s="1322"/>
      <c r="G140" s="1322"/>
      <c r="H140" s="1322"/>
      <c r="I140" s="1322"/>
      <c r="J140" s="1323"/>
      <c r="K140" s="1327">
        <f>'3.LRA'!E18</f>
        <v>0</v>
      </c>
      <c r="L140" s="1328"/>
      <c r="M140" s="1328"/>
      <c r="N140" s="1328"/>
      <c r="O140" s="1329"/>
      <c r="P140" s="1078">
        <f>K140-E140</f>
        <v>0</v>
      </c>
      <c r="Q140" s="1078"/>
      <c r="R140" s="1078"/>
      <c r="S140" s="1078"/>
      <c r="T140" s="1079">
        <v>0</v>
      </c>
      <c r="U140" s="1079"/>
      <c r="V140" s="52"/>
    </row>
    <row r="141" spans="1:22" s="141" customFormat="1" ht="15.75" customHeight="1">
      <c r="A141" s="674" t="s">
        <v>111</v>
      </c>
      <c r="B141" s="139"/>
      <c r="C141" s="675"/>
      <c r="D141" s="675"/>
      <c r="E141" s="1321">
        <f>'3.LRA'!D37</f>
        <v>9772034508</v>
      </c>
      <c r="F141" s="1322"/>
      <c r="G141" s="1322"/>
      <c r="H141" s="1322"/>
      <c r="I141" s="1322"/>
      <c r="J141" s="1323"/>
      <c r="K141" s="1706">
        <f>'3.LRA'!E37</f>
        <v>9332242166</v>
      </c>
      <c r="L141" s="1707"/>
      <c r="M141" s="1707"/>
      <c r="N141" s="1707"/>
      <c r="O141" s="1708"/>
      <c r="P141" s="1374">
        <f aca="true" t="shared" si="2" ref="P141:P147">K141-E141</f>
        <v>-439792342</v>
      </c>
      <c r="Q141" s="1374"/>
      <c r="R141" s="1374"/>
      <c r="S141" s="1374"/>
      <c r="T141" s="1079">
        <f aca="true" t="shared" si="3" ref="T141:T147">K141/E141*100</f>
        <v>95.49948026032902</v>
      </c>
      <c r="U141" s="1079"/>
      <c r="V141" s="52"/>
    </row>
    <row r="142" spans="1:22" s="141" customFormat="1" ht="15.75" customHeight="1">
      <c r="A142" s="676" t="s">
        <v>1481</v>
      </c>
      <c r="B142" s="677"/>
      <c r="C142" s="677"/>
      <c r="D142" s="677"/>
      <c r="E142" s="1296">
        <f>E140-E141</f>
        <v>-9772034508</v>
      </c>
      <c r="F142" s="1297"/>
      <c r="G142" s="1297"/>
      <c r="H142" s="1297"/>
      <c r="I142" s="1297"/>
      <c r="J142" s="1298"/>
      <c r="K142" s="1296">
        <f>K140-K141</f>
        <v>-9332242166</v>
      </c>
      <c r="L142" s="1297"/>
      <c r="M142" s="1297"/>
      <c r="N142" s="1297"/>
      <c r="O142" s="1298"/>
      <c r="P142" s="1374">
        <f t="shared" si="2"/>
        <v>439792342</v>
      </c>
      <c r="Q142" s="1374"/>
      <c r="R142" s="1374"/>
      <c r="S142" s="1374"/>
      <c r="T142" s="1079">
        <f t="shared" si="3"/>
        <v>95.49948026032902</v>
      </c>
      <c r="U142" s="1079"/>
      <c r="V142" s="52"/>
    </row>
    <row r="143" spans="1:22" s="141" customFormat="1" ht="15.75" customHeight="1">
      <c r="A143" s="676" t="s">
        <v>1476</v>
      </c>
      <c r="B143" s="139"/>
      <c r="C143" s="678"/>
      <c r="D143" s="678"/>
      <c r="E143" s="1311"/>
      <c r="F143" s="1312"/>
      <c r="G143" s="1312"/>
      <c r="H143" s="1312"/>
      <c r="I143" s="1312"/>
      <c r="J143" s="1313"/>
      <c r="K143" s="1327"/>
      <c r="L143" s="1328"/>
      <c r="M143" s="1328"/>
      <c r="N143" s="1328"/>
      <c r="O143" s="1329"/>
      <c r="P143" s="1078"/>
      <c r="Q143" s="1078"/>
      <c r="R143" s="1078"/>
      <c r="S143" s="1078"/>
      <c r="T143" s="1079"/>
      <c r="U143" s="1079"/>
      <c r="V143" s="52"/>
    </row>
    <row r="144" spans="1:22" s="141" customFormat="1" ht="15.75" customHeight="1">
      <c r="A144" s="674" t="s">
        <v>1482</v>
      </c>
      <c r="B144" s="139"/>
      <c r="C144" s="678"/>
      <c r="D144" s="678"/>
      <c r="E144" s="1311">
        <f>'3.LRA'!D107</f>
        <v>0</v>
      </c>
      <c r="F144" s="1312"/>
      <c r="G144" s="1312"/>
      <c r="H144" s="1312"/>
      <c r="I144" s="1312"/>
      <c r="J144" s="1313"/>
      <c r="K144" s="1327">
        <f>'3.LRA'!E107</f>
        <v>0</v>
      </c>
      <c r="L144" s="1328"/>
      <c r="M144" s="1328"/>
      <c r="N144" s="1328"/>
      <c r="O144" s="1329"/>
      <c r="P144" s="1078">
        <f t="shared" si="2"/>
        <v>0</v>
      </c>
      <c r="Q144" s="1078"/>
      <c r="R144" s="1078"/>
      <c r="S144" s="1078"/>
      <c r="T144" s="1079">
        <v>0</v>
      </c>
      <c r="U144" s="1079"/>
      <c r="V144" s="52"/>
    </row>
    <row r="145" spans="1:22" s="141" customFormat="1" ht="15.75" customHeight="1">
      <c r="A145" s="674" t="s">
        <v>1477</v>
      </c>
      <c r="B145" s="139"/>
      <c r="C145" s="678"/>
      <c r="D145" s="678"/>
      <c r="E145" s="1311">
        <f>'3.LRA'!D113</f>
        <v>0</v>
      </c>
      <c r="F145" s="1312"/>
      <c r="G145" s="1312"/>
      <c r="H145" s="1312"/>
      <c r="I145" s="1312"/>
      <c r="J145" s="1313"/>
      <c r="K145" s="1327">
        <f>'3.LRA'!E113</f>
        <v>0</v>
      </c>
      <c r="L145" s="1328"/>
      <c r="M145" s="1328"/>
      <c r="N145" s="1328"/>
      <c r="O145" s="1329"/>
      <c r="P145" s="1078">
        <f t="shared" si="2"/>
        <v>0</v>
      </c>
      <c r="Q145" s="1078"/>
      <c r="R145" s="1078"/>
      <c r="S145" s="1078"/>
      <c r="T145" s="1079">
        <v>0</v>
      </c>
      <c r="U145" s="1079"/>
      <c r="V145" s="52"/>
    </row>
    <row r="146" spans="1:22" s="141" customFormat="1" ht="15.75" customHeight="1">
      <c r="A146" s="676" t="s">
        <v>1478</v>
      </c>
      <c r="B146" s="677"/>
      <c r="C146" s="677"/>
      <c r="D146" s="677"/>
      <c r="E146" s="1296">
        <f>E144-E145</f>
        <v>0</v>
      </c>
      <c r="F146" s="1297"/>
      <c r="G146" s="1297"/>
      <c r="H146" s="1297"/>
      <c r="I146" s="1297"/>
      <c r="J146" s="1298"/>
      <c r="K146" s="1296">
        <f>K144-K145</f>
        <v>0</v>
      </c>
      <c r="L146" s="1297"/>
      <c r="M146" s="1297"/>
      <c r="N146" s="1297"/>
      <c r="O146" s="1298"/>
      <c r="P146" s="1078">
        <f t="shared" si="2"/>
        <v>0</v>
      </c>
      <c r="Q146" s="1078"/>
      <c r="R146" s="1078"/>
      <c r="S146" s="1078"/>
      <c r="T146" s="1079">
        <v>0</v>
      </c>
      <c r="U146" s="1079"/>
      <c r="V146" s="52"/>
    </row>
    <row r="147" spans="1:22" s="141" customFormat="1" ht="15.75" customHeight="1">
      <c r="A147" s="676" t="s">
        <v>1479</v>
      </c>
      <c r="B147" s="677"/>
      <c r="C147" s="677"/>
      <c r="D147" s="677"/>
      <c r="E147" s="1296">
        <f>E142+E146</f>
        <v>-9772034508</v>
      </c>
      <c r="F147" s="1297"/>
      <c r="G147" s="1297"/>
      <c r="H147" s="1297"/>
      <c r="I147" s="1297"/>
      <c r="J147" s="1298"/>
      <c r="K147" s="1296">
        <f>K142+K146</f>
        <v>-9332242166</v>
      </c>
      <c r="L147" s="1297"/>
      <c r="M147" s="1297"/>
      <c r="N147" s="1297"/>
      <c r="O147" s="1298"/>
      <c r="P147" s="1374">
        <f t="shared" si="2"/>
        <v>439792342</v>
      </c>
      <c r="Q147" s="1374"/>
      <c r="R147" s="1374"/>
      <c r="S147" s="1374"/>
      <c r="T147" s="1079">
        <f t="shared" si="3"/>
        <v>95.49948026032902</v>
      </c>
      <c r="U147" s="1079"/>
      <c r="V147" s="52"/>
    </row>
    <row r="148" spans="1:22" s="141" customFormat="1" ht="15.75" customHeight="1">
      <c r="A148" s="104"/>
      <c r="B148" s="104"/>
      <c r="C148" s="104"/>
      <c r="D148" s="104"/>
      <c r="E148" s="681"/>
      <c r="F148" s="681"/>
      <c r="G148" s="681"/>
      <c r="H148" s="681"/>
      <c r="I148" s="681"/>
      <c r="J148" s="681"/>
      <c r="K148" s="681"/>
      <c r="L148" s="681"/>
      <c r="M148" s="681"/>
      <c r="N148" s="681"/>
      <c r="O148" s="681"/>
      <c r="P148" s="681"/>
      <c r="Q148" s="681"/>
      <c r="R148" s="681"/>
      <c r="S148" s="681"/>
      <c r="T148" s="681"/>
      <c r="U148" s="681"/>
      <c r="V148" s="52"/>
    </row>
    <row r="149" spans="1:22" s="141" customFormat="1" ht="82.5" customHeight="1">
      <c r="A149" s="104"/>
      <c r="B149" s="104"/>
      <c r="C149" s="104"/>
      <c r="D149" s="104"/>
      <c r="E149" s="681"/>
      <c r="F149" s="681"/>
      <c r="G149" s="681"/>
      <c r="H149" s="681"/>
      <c r="I149" s="681"/>
      <c r="J149" s="681"/>
      <c r="K149" s="681"/>
      <c r="L149" s="681"/>
      <c r="M149" s="681"/>
      <c r="N149" s="681"/>
      <c r="O149" s="681"/>
      <c r="P149" s="681"/>
      <c r="Q149" s="681"/>
      <c r="R149" s="681"/>
      <c r="S149" s="681"/>
      <c r="T149" s="681"/>
      <c r="U149" s="681"/>
      <c r="V149" s="52"/>
    </row>
    <row r="150" spans="1:22" s="141" customFormat="1" ht="15.75" customHeight="1">
      <c r="A150" s="650"/>
      <c r="C150" s="66" t="s">
        <v>1483</v>
      </c>
      <c r="D150" s="66"/>
      <c r="E150" s="66"/>
      <c r="F150" s="66"/>
      <c r="G150" s="66"/>
      <c r="H150" s="66"/>
      <c r="I150" s="66"/>
      <c r="J150" s="73"/>
      <c r="K150" s="73"/>
      <c r="L150" s="73"/>
      <c r="M150" s="73"/>
      <c r="N150" s="73"/>
      <c r="O150" s="73"/>
      <c r="P150" s="73"/>
      <c r="Q150" s="73"/>
      <c r="R150" s="73"/>
      <c r="S150" s="73"/>
      <c r="T150" s="73"/>
      <c r="U150" s="73"/>
      <c r="V150" s="52"/>
    </row>
    <row r="151" spans="1:22" s="141" customFormat="1" ht="45.75" customHeight="1">
      <c r="A151" s="650"/>
      <c r="B151" s="66"/>
      <c r="C151" s="661" t="s">
        <v>1494</v>
      </c>
      <c r="D151" s="1108" t="str">
        <f>"Pendapatan Tahun Anggaran "&amp;'2.ISIAN DATA SKPD'!D11&amp;" dapat terealisasi sebesar Rp. 0 atau 0 % dari anggaran pendapatan yang telah ditetapkan sebesar Rp. 0 atau kurang dari anggaran sebesar Rp.0."</f>
        <v>Pendapatan Tahun Anggaran 2017 dapat terealisasi sebesar Rp. 0 atau 0 % dari anggaran pendapatan yang telah ditetapkan sebesar Rp. 0 atau kurang dari anggaran sebesar Rp.0.</v>
      </c>
      <c r="E151" s="1108"/>
      <c r="F151" s="1108"/>
      <c r="G151" s="1108"/>
      <c r="H151" s="1108"/>
      <c r="I151" s="1108"/>
      <c r="J151" s="1108"/>
      <c r="K151" s="1108"/>
      <c r="L151" s="1108"/>
      <c r="M151" s="1108"/>
      <c r="N151" s="1108"/>
      <c r="O151" s="1108"/>
      <c r="P151" s="1108"/>
      <c r="Q151" s="1108"/>
      <c r="R151" s="1108"/>
      <c r="S151" s="1108"/>
      <c r="T151" s="1108"/>
      <c r="U151" s="1108"/>
      <c r="V151" s="52"/>
    </row>
    <row r="152" spans="1:22" s="141" customFormat="1" ht="58.5" customHeight="1">
      <c r="A152" s="650"/>
      <c r="B152" s="66"/>
      <c r="C152" s="9" t="s">
        <v>16</v>
      </c>
      <c r="D152" s="1108" t="str">
        <f>"Belanja Tahun Anggaran "&amp;'2.ISIAN DATA SKPD'!D11&amp;" dapat terealisasi sebesar Rp. "&amp;FIXED(K141)&amp;" atau "&amp;FIXED(T141)&amp;"% dari anggaran belanja yang telah ditetapkan sebesar Rp. "&amp;FIXED(E141)&amp;" atau kurang dari anggaran sebesar Rp."&amp;FIXED(P141)&amp;"."</f>
        <v>Belanja Tahun Anggaran 2017 dapat terealisasi sebesar Rp. 9,332,242,166.00 atau 95.50% dari anggaran belanja yang telah ditetapkan sebesar Rp. 9,772,034,508.00 atau kurang dari anggaran sebesar Rp.-439,792,342.00.</v>
      </c>
      <c r="E152" s="1108"/>
      <c r="F152" s="1108"/>
      <c r="G152" s="1108"/>
      <c r="H152" s="1108"/>
      <c r="I152" s="1108"/>
      <c r="J152" s="1108"/>
      <c r="K152" s="1108"/>
      <c r="L152" s="1108"/>
      <c r="M152" s="1108"/>
      <c r="N152" s="1108"/>
      <c r="O152" s="1108"/>
      <c r="P152" s="1108"/>
      <c r="Q152" s="1108"/>
      <c r="R152" s="1108"/>
      <c r="S152" s="1108"/>
      <c r="T152" s="1108"/>
      <c r="U152" s="1108"/>
      <c r="V152" s="52"/>
    </row>
    <row r="153" spans="1:22" s="141" customFormat="1" ht="45" customHeight="1">
      <c r="A153" s="650"/>
      <c r="B153" s="66"/>
      <c r="C153" s="9" t="s">
        <v>17</v>
      </c>
      <c r="D153" s="1108" t="str">
        <f>"Surplus/(defisit) anggaran untuk periode yang berakhir pada "&amp;'2.ISIAN DATA SKPD'!D10&amp;" adalah sebesar Rp. "&amp;FIXED(K142)&amp;" yang diperoleh dari realisasi pendapatan dikurangi realisasi belanja."</f>
        <v>Surplus/(defisit) anggaran untuk periode yang berakhir pada 31 Desember 2017 adalah sebesar Rp. -9,332,242,166.00 yang diperoleh dari realisasi pendapatan dikurangi realisasi belanja.</v>
      </c>
      <c r="E153" s="1108"/>
      <c r="F153" s="1108"/>
      <c r="G153" s="1108"/>
      <c r="H153" s="1108"/>
      <c r="I153" s="1108"/>
      <c r="J153" s="1108"/>
      <c r="K153" s="1108"/>
      <c r="L153" s="1108"/>
      <c r="M153" s="1108"/>
      <c r="N153" s="1108"/>
      <c r="O153" s="1108"/>
      <c r="P153" s="1108"/>
      <c r="Q153" s="1108"/>
      <c r="R153" s="1108"/>
      <c r="S153" s="1108"/>
      <c r="T153" s="1108"/>
      <c r="U153" s="1108"/>
      <c r="V153" s="52"/>
    </row>
    <row r="154" spans="1:22" s="141" customFormat="1" ht="46.5" customHeight="1">
      <c r="A154" s="650"/>
      <c r="B154" s="66"/>
      <c r="C154" s="9" t="s">
        <v>786</v>
      </c>
      <c r="D154" s="1108" t="str">
        <f>"Pembiayaan Netto untuk periode yang berakhir pada "&amp;'2.ISIAN DATA SKPD'!D9&amp;" adalah sebesar Rp. 0 atau mencapai  0 % dari anggaran yang ditetapkan sebesar Rp. 0 ."</f>
        <v>Pembiayaan Netto untuk periode yang berakhir pada 31 Desember 2016 adalah sebesar Rp. 0 atau mencapai  0 % dari anggaran yang ditetapkan sebesar Rp. 0 .</v>
      </c>
      <c r="E154" s="1108"/>
      <c r="F154" s="1108"/>
      <c r="G154" s="1108"/>
      <c r="H154" s="1108"/>
      <c r="I154" s="1108"/>
      <c r="J154" s="1108"/>
      <c r="K154" s="1108"/>
      <c r="L154" s="1108"/>
      <c r="M154" s="1108"/>
      <c r="N154" s="1108"/>
      <c r="O154" s="1108"/>
      <c r="P154" s="1108"/>
      <c r="Q154" s="1108"/>
      <c r="R154" s="1108"/>
      <c r="S154" s="1108"/>
      <c r="T154" s="1108"/>
      <c r="U154" s="1108"/>
      <c r="V154" s="52"/>
    </row>
    <row r="155" spans="1:22" s="141" customFormat="1" ht="46.5" customHeight="1">
      <c r="A155" s="650"/>
      <c r="B155" s="66"/>
      <c r="C155" s="9" t="s">
        <v>1221</v>
      </c>
      <c r="D155" s="1108" t="str">
        <f>"SILPA untuk periode yang berakhir pada "&amp;'2.ISIAN DATA SKPD'!D10&amp;" mencapai sebesar Rp. "&amp;FIXED(K147)&amp;" naik sebesar Rp. "&amp;FIXED(P147)&amp;" dari tahun anggaran 2016 atau "&amp;FIXED(T147)&amp;"%."</f>
        <v>SILPA untuk periode yang berakhir pada 31 Desember 2017 mencapai sebesar Rp. -9,332,242,166.00 naik sebesar Rp. 439,792,342.00 dari tahun anggaran 2016 atau 95.50%.</v>
      </c>
      <c r="E155" s="1108"/>
      <c r="F155" s="1108"/>
      <c r="G155" s="1108"/>
      <c r="H155" s="1108"/>
      <c r="I155" s="1108"/>
      <c r="J155" s="1108"/>
      <c r="K155" s="1108"/>
      <c r="L155" s="1108"/>
      <c r="M155" s="1108"/>
      <c r="N155" s="1108"/>
      <c r="O155" s="1108"/>
      <c r="P155" s="1108"/>
      <c r="Q155" s="1108"/>
      <c r="R155" s="1108"/>
      <c r="S155" s="1108"/>
      <c r="T155" s="1108"/>
      <c r="U155" s="1108"/>
      <c r="V155" s="52"/>
    </row>
    <row r="156" spans="1:22" s="141" customFormat="1" ht="5.25" customHeight="1">
      <c r="A156" s="650"/>
      <c r="B156" s="9"/>
      <c r="C156" s="9"/>
      <c r="D156" s="9"/>
      <c r="E156" s="9"/>
      <c r="F156" s="9"/>
      <c r="G156" s="9"/>
      <c r="H156" s="9"/>
      <c r="I156" s="9"/>
      <c r="J156" s="9"/>
      <c r="K156" s="9"/>
      <c r="L156" s="61"/>
      <c r="M156" s="61"/>
      <c r="N156" s="61"/>
      <c r="O156" s="61"/>
      <c r="P156" s="61"/>
      <c r="Q156" s="61"/>
      <c r="R156" s="61"/>
      <c r="S156" s="61"/>
      <c r="T156" s="61"/>
      <c r="U156" s="61"/>
      <c r="V156" s="52"/>
    </row>
    <row r="157" spans="1:22" s="141" customFormat="1" ht="16.5" customHeight="1">
      <c r="A157" s="650"/>
      <c r="B157" s="644" t="str">
        <f>"2.1.2. Realisasi TA "&amp;'2.ISIAN DATA SKPD'!D11&amp;" Dibandingkan Dengan Realisasi TA "&amp;'2.ISIAN DATA SKPD'!D12&amp;""</f>
        <v>2.1.2. Realisasi TA 2017 Dibandingkan Dengan Realisasi TA 2016</v>
      </c>
      <c r="C157" s="682"/>
      <c r="D157" s="682"/>
      <c r="E157" s="682"/>
      <c r="F157" s="682"/>
      <c r="G157" s="682"/>
      <c r="H157" s="682"/>
      <c r="I157" s="682"/>
      <c r="J157" s="682"/>
      <c r="K157" s="682"/>
      <c r="L157" s="683"/>
      <c r="M157" s="683"/>
      <c r="N157" s="683"/>
      <c r="O157" s="683"/>
      <c r="P157" s="683"/>
      <c r="Q157" s="683"/>
      <c r="R157" s="683"/>
      <c r="S157" s="683"/>
      <c r="T157" s="683"/>
      <c r="U157" s="683"/>
      <c r="V157" s="52"/>
    </row>
    <row r="158" spans="1:22" s="141" customFormat="1" ht="33.75" customHeight="1">
      <c r="A158" s="650"/>
      <c r="B158" s="647"/>
      <c r="C158" s="1226" t="str">
        <f>"Perbandingan realisasi Tahun Anggaran "&amp;'2.ISIAN DATA SKPD'!D11&amp;" dengan realisasi Tahun Anggaran "&amp;'2.ISIAN DATA SKPD'!D12&amp;" sebagaimana pada tabel berikut :"</f>
        <v>Perbandingan realisasi Tahun Anggaran 2017 dengan realisasi Tahun Anggaran 2016 sebagaimana pada tabel berikut :</v>
      </c>
      <c r="D158" s="1226"/>
      <c r="E158" s="1226"/>
      <c r="F158" s="1226"/>
      <c r="G158" s="1226"/>
      <c r="H158" s="1226"/>
      <c r="I158" s="1226"/>
      <c r="J158" s="1226"/>
      <c r="K158" s="1226"/>
      <c r="L158" s="1226"/>
      <c r="M158" s="1226"/>
      <c r="N158" s="1226"/>
      <c r="O158" s="1226"/>
      <c r="P158" s="1226"/>
      <c r="Q158" s="1226"/>
      <c r="R158" s="1226"/>
      <c r="S158" s="1226"/>
      <c r="T158" s="1226"/>
      <c r="U158" s="1226"/>
      <c r="V158" s="52"/>
    </row>
    <row r="159" spans="1:22" s="141" customFormat="1" ht="4.5" customHeight="1">
      <c r="A159" s="650"/>
      <c r="B159" s="9"/>
      <c r="C159" s="684"/>
      <c r="D159" s="1705"/>
      <c r="E159" s="1705"/>
      <c r="F159" s="1705"/>
      <c r="G159" s="1705"/>
      <c r="H159" s="1705"/>
      <c r="I159" s="1705"/>
      <c r="J159" s="1705"/>
      <c r="K159" s="1705"/>
      <c r="L159" s="1705"/>
      <c r="M159" s="1705"/>
      <c r="N159" s="1705"/>
      <c r="O159" s="1705"/>
      <c r="P159" s="1705"/>
      <c r="Q159" s="1705"/>
      <c r="R159" s="1705"/>
      <c r="S159" s="1705"/>
      <c r="T159" s="1705"/>
      <c r="U159" s="1705"/>
      <c r="V159" s="52"/>
    </row>
    <row r="160" spans="1:22" s="141" customFormat="1" ht="25.5" customHeight="1">
      <c r="A160" s="1375" t="s">
        <v>9</v>
      </c>
      <c r="B160" s="1376"/>
      <c r="C160" s="1376"/>
      <c r="D160" s="1377"/>
      <c r="E160" s="1097" t="s">
        <v>1474</v>
      </c>
      <c r="F160" s="1098"/>
      <c r="G160" s="1098"/>
      <c r="H160" s="1098"/>
      <c r="I160" s="1098"/>
      <c r="J160" s="1099"/>
      <c r="K160" s="1254" t="s">
        <v>257</v>
      </c>
      <c r="L160" s="1255"/>
      <c r="M160" s="1255"/>
      <c r="N160" s="1255"/>
      <c r="O160" s="1256"/>
      <c r="P160" s="1324" t="s">
        <v>1506</v>
      </c>
      <c r="Q160" s="1324"/>
      <c r="R160" s="1324"/>
      <c r="S160" s="1324"/>
      <c r="T160" s="1324" t="s">
        <v>1248</v>
      </c>
      <c r="U160" s="1324"/>
      <c r="V160" s="52"/>
    </row>
    <row r="161" spans="1:22" s="141" customFormat="1" ht="16.5" customHeight="1">
      <c r="A161" s="103" t="s">
        <v>1480</v>
      </c>
      <c r="B161" s="634"/>
      <c r="C161" s="634"/>
      <c r="D161" s="634"/>
      <c r="E161" s="1314"/>
      <c r="F161" s="1315"/>
      <c r="G161" s="1315"/>
      <c r="H161" s="1315"/>
      <c r="I161" s="1315"/>
      <c r="J161" s="1316"/>
      <c r="K161" s="1384"/>
      <c r="L161" s="1385"/>
      <c r="M161" s="1385"/>
      <c r="N161" s="1385"/>
      <c r="O161" s="1386"/>
      <c r="P161" s="1303"/>
      <c r="Q161" s="1303"/>
      <c r="R161" s="1303"/>
      <c r="S161" s="1303"/>
      <c r="T161" s="1320"/>
      <c r="U161" s="1320"/>
      <c r="V161" s="52"/>
    </row>
    <row r="162" spans="1:26" s="141" customFormat="1" ht="16.5" customHeight="1">
      <c r="A162" s="672" t="s">
        <v>119</v>
      </c>
      <c r="C162" s="673"/>
      <c r="D162" s="673"/>
      <c r="E162" s="1321"/>
      <c r="F162" s="1322"/>
      <c r="G162" s="1322"/>
      <c r="H162" s="1322"/>
      <c r="I162" s="1322"/>
      <c r="J162" s="1323"/>
      <c r="K162" s="1317"/>
      <c r="L162" s="1318"/>
      <c r="M162" s="1318"/>
      <c r="N162" s="1318"/>
      <c r="O162" s="1319"/>
      <c r="P162" s="1302">
        <f>E162-K162</f>
        <v>0</v>
      </c>
      <c r="Q162" s="1302"/>
      <c r="R162" s="1302"/>
      <c r="S162" s="1302"/>
      <c r="T162" s="1069">
        <v>0</v>
      </c>
      <c r="U162" s="1069"/>
      <c r="V162" s="685"/>
      <c r="W162" s="685"/>
      <c r="X162" s="685"/>
      <c r="Y162" s="685"/>
      <c r="Z162" s="685"/>
    </row>
    <row r="163" spans="1:26" s="141" customFormat="1" ht="16.5" customHeight="1">
      <c r="A163" s="674" t="s">
        <v>111</v>
      </c>
      <c r="B163" s="139"/>
      <c r="C163" s="675"/>
      <c r="D163" s="675"/>
      <c r="E163" s="1321">
        <f>K141</f>
        <v>9332242166</v>
      </c>
      <c r="F163" s="1322"/>
      <c r="G163" s="1322"/>
      <c r="H163" s="1322"/>
      <c r="I163" s="1322"/>
      <c r="J163" s="1323"/>
      <c r="K163" s="1317">
        <f>'3.LRA'!I37</f>
        <v>7298213492</v>
      </c>
      <c r="L163" s="1318"/>
      <c r="M163" s="1318"/>
      <c r="N163" s="1318"/>
      <c r="O163" s="1319"/>
      <c r="P163" s="1302">
        <f>E163-K163</f>
        <v>2034028674</v>
      </c>
      <c r="Q163" s="1302"/>
      <c r="R163" s="1302"/>
      <c r="S163" s="1302"/>
      <c r="T163" s="1069">
        <f>(E163-K163)/K163*100</f>
        <v>27.870227093652687</v>
      </c>
      <c r="U163" s="1069"/>
      <c r="V163" s="685"/>
      <c r="W163" s="685"/>
      <c r="X163" s="685"/>
      <c r="Y163" s="685"/>
      <c r="Z163" s="685"/>
    </row>
    <row r="164" spans="1:22" s="141" customFormat="1" ht="16.5" customHeight="1">
      <c r="A164" s="676" t="s">
        <v>1481</v>
      </c>
      <c r="B164" s="677"/>
      <c r="C164" s="677"/>
      <c r="D164" s="677"/>
      <c r="E164" s="1296">
        <f>E162-E163</f>
        <v>-9332242166</v>
      </c>
      <c r="F164" s="1297"/>
      <c r="G164" s="1297"/>
      <c r="H164" s="1297"/>
      <c r="I164" s="1297"/>
      <c r="J164" s="1298"/>
      <c r="K164" s="1296">
        <f>K162-K163</f>
        <v>-7298213492</v>
      </c>
      <c r="L164" s="1297"/>
      <c r="M164" s="1297"/>
      <c r="N164" s="1297"/>
      <c r="O164" s="1298"/>
      <c r="P164" s="1310">
        <f>P162-P163</f>
        <v>-2034028674</v>
      </c>
      <c r="Q164" s="1310"/>
      <c r="R164" s="1310"/>
      <c r="S164" s="1310"/>
      <c r="T164" s="1069">
        <f>(E164-K164)/K164*100</f>
        <v>27.870227093652687</v>
      </c>
      <c r="U164" s="1069"/>
      <c r="V164" s="52"/>
    </row>
    <row r="165" spans="1:22" s="141" customFormat="1" ht="16.5" customHeight="1">
      <c r="A165" s="676" t="s">
        <v>1476</v>
      </c>
      <c r="B165" s="139"/>
      <c r="C165" s="678"/>
      <c r="D165" s="678"/>
      <c r="E165" s="1311"/>
      <c r="F165" s="1312"/>
      <c r="G165" s="1312"/>
      <c r="H165" s="1312"/>
      <c r="I165" s="1312"/>
      <c r="J165" s="1313"/>
      <c r="K165" s="1317"/>
      <c r="L165" s="1318"/>
      <c r="M165" s="1318"/>
      <c r="N165" s="1318"/>
      <c r="O165" s="1319"/>
      <c r="P165" s="1302"/>
      <c r="Q165" s="1302"/>
      <c r="R165" s="1302"/>
      <c r="S165" s="1302"/>
      <c r="T165" s="1069">
        <v>0</v>
      </c>
      <c r="U165" s="1069"/>
      <c r="V165" s="52"/>
    </row>
    <row r="166" spans="1:22" s="141" customFormat="1" ht="16.5" customHeight="1">
      <c r="A166" s="674" t="s">
        <v>1482</v>
      </c>
      <c r="B166" s="139"/>
      <c r="C166" s="678"/>
      <c r="D166" s="678"/>
      <c r="E166" s="1321">
        <f>K144</f>
        <v>0</v>
      </c>
      <c r="F166" s="1322"/>
      <c r="G166" s="1322"/>
      <c r="H166" s="1322"/>
      <c r="I166" s="1322"/>
      <c r="J166" s="1323"/>
      <c r="K166" s="1317">
        <f>'3.LRA'!I107</f>
        <v>0</v>
      </c>
      <c r="L166" s="1318"/>
      <c r="M166" s="1318"/>
      <c r="N166" s="1318"/>
      <c r="O166" s="1319"/>
      <c r="P166" s="1302">
        <f>E166-K166</f>
        <v>0</v>
      </c>
      <c r="Q166" s="1302"/>
      <c r="R166" s="1302"/>
      <c r="S166" s="1302"/>
      <c r="T166" s="1069">
        <v>0</v>
      </c>
      <c r="U166" s="1069"/>
      <c r="V166" s="52"/>
    </row>
    <row r="167" spans="1:22" s="141" customFormat="1" ht="16.5" customHeight="1">
      <c r="A167" s="674" t="s">
        <v>1477</v>
      </c>
      <c r="B167" s="139"/>
      <c r="C167" s="678"/>
      <c r="D167" s="678"/>
      <c r="E167" s="1321">
        <f>K145</f>
        <v>0</v>
      </c>
      <c r="F167" s="1322"/>
      <c r="G167" s="1322"/>
      <c r="H167" s="1322"/>
      <c r="I167" s="1322"/>
      <c r="J167" s="1323"/>
      <c r="K167" s="1317">
        <f>'3.LRA'!I113</f>
        <v>0</v>
      </c>
      <c r="L167" s="1318"/>
      <c r="M167" s="1318"/>
      <c r="N167" s="1318"/>
      <c r="O167" s="1319"/>
      <c r="P167" s="1302">
        <f>E167-K167</f>
        <v>0</v>
      </c>
      <c r="Q167" s="1302"/>
      <c r="R167" s="1302"/>
      <c r="S167" s="1302"/>
      <c r="T167" s="1069">
        <v>0</v>
      </c>
      <c r="U167" s="1069"/>
      <c r="V167" s="52"/>
    </row>
    <row r="168" spans="1:22" s="141" customFormat="1" ht="16.5" customHeight="1">
      <c r="A168" s="676" t="s">
        <v>1478</v>
      </c>
      <c r="B168" s="677"/>
      <c r="C168" s="677"/>
      <c r="D168" s="677"/>
      <c r="E168" s="1296">
        <f>E166-E167</f>
        <v>0</v>
      </c>
      <c r="F168" s="1297"/>
      <c r="G168" s="1297"/>
      <c r="H168" s="1297"/>
      <c r="I168" s="1297"/>
      <c r="J168" s="1298"/>
      <c r="K168" s="1296">
        <f>K166-K167</f>
        <v>0</v>
      </c>
      <c r="L168" s="1297"/>
      <c r="M168" s="1297"/>
      <c r="N168" s="1297"/>
      <c r="O168" s="1298"/>
      <c r="P168" s="1302">
        <f>P166-P167</f>
        <v>0</v>
      </c>
      <c r="Q168" s="1302"/>
      <c r="R168" s="1302"/>
      <c r="S168" s="1302"/>
      <c r="T168" s="1069">
        <v>0</v>
      </c>
      <c r="U168" s="1069"/>
      <c r="V168" s="52"/>
    </row>
    <row r="169" spans="1:22" s="141" customFormat="1" ht="16.5" customHeight="1">
      <c r="A169" s="676" t="s">
        <v>1479</v>
      </c>
      <c r="B169" s="677"/>
      <c r="C169" s="677"/>
      <c r="D169" s="677"/>
      <c r="E169" s="1296">
        <f>E164+E168</f>
        <v>-9332242166</v>
      </c>
      <c r="F169" s="1297"/>
      <c r="G169" s="1297"/>
      <c r="H169" s="1297"/>
      <c r="I169" s="1297"/>
      <c r="J169" s="1298"/>
      <c r="K169" s="1296">
        <f>K164+K168</f>
        <v>-7298213492</v>
      </c>
      <c r="L169" s="1297"/>
      <c r="M169" s="1297"/>
      <c r="N169" s="1297"/>
      <c r="O169" s="1298"/>
      <c r="P169" s="1310">
        <f>P164+Q168</f>
        <v>-2034028674</v>
      </c>
      <c r="Q169" s="1310"/>
      <c r="R169" s="1310"/>
      <c r="S169" s="1310"/>
      <c r="T169" s="1069">
        <f>(E169-K169)/K169*100</f>
        <v>27.870227093652687</v>
      </c>
      <c r="U169" s="1069"/>
      <c r="V169" s="52"/>
    </row>
    <row r="170" spans="1:22" s="141" customFormat="1" ht="7.5" customHeight="1">
      <c r="A170" s="650"/>
      <c r="B170" s="9"/>
      <c r="C170" s="9"/>
      <c r="D170" s="9"/>
      <c r="E170" s="9"/>
      <c r="F170" s="9"/>
      <c r="G170" s="9"/>
      <c r="H170" s="9"/>
      <c r="I170" s="9"/>
      <c r="J170" s="9"/>
      <c r="K170" s="9"/>
      <c r="L170" s="61"/>
      <c r="M170" s="61"/>
      <c r="N170" s="61"/>
      <c r="O170" s="61"/>
      <c r="P170" s="61"/>
      <c r="Q170" s="61"/>
      <c r="R170" s="61"/>
      <c r="S170" s="61"/>
      <c r="T170" s="61"/>
      <c r="U170" s="61"/>
      <c r="V170" s="52"/>
    </row>
    <row r="171" spans="1:38" s="141" customFormat="1" ht="45" customHeight="1">
      <c r="A171" s="650"/>
      <c r="B171" s="9"/>
      <c r="C171" s="9" t="s">
        <v>15</v>
      </c>
      <c r="D171" s="1108" t="str">
        <f>"Realisasi Pendapatan Tahun Anggaran "&amp;'2.ISIAN DATA SKPD'!D11&amp;" tidak mengalami peningkatan/penurunan sebesar 0 % dari Realisasi Pendapatan Tahun Anggaran "&amp;'2.ISIAN DATA SKPD'!D12&amp;"."</f>
        <v>Realisasi Pendapatan Tahun Anggaran 2017 tidak mengalami peningkatan/penurunan sebesar 0 % dari Realisasi Pendapatan Tahun Anggaran 2016.</v>
      </c>
      <c r="E171" s="1108"/>
      <c r="F171" s="1108"/>
      <c r="G171" s="1108"/>
      <c r="H171" s="1108"/>
      <c r="I171" s="1108"/>
      <c r="J171" s="1108"/>
      <c r="K171" s="1108"/>
      <c r="L171" s="1108"/>
      <c r="M171" s="1108"/>
      <c r="N171" s="1108"/>
      <c r="O171" s="1108"/>
      <c r="P171" s="1108"/>
      <c r="Q171" s="1108"/>
      <c r="R171" s="1108"/>
      <c r="S171" s="1108"/>
      <c r="T171" s="1108"/>
      <c r="U171" s="1108"/>
      <c r="V171" s="1704"/>
      <c r="W171" s="1704"/>
      <c r="X171" s="1704"/>
      <c r="Y171" s="1704"/>
      <c r="Z171" s="1704"/>
      <c r="AA171" s="1704"/>
      <c r="AB171" s="1704"/>
      <c r="AC171" s="1704"/>
      <c r="AD171" s="1704"/>
      <c r="AE171" s="1704"/>
      <c r="AF171" s="1704"/>
      <c r="AG171" s="1704"/>
      <c r="AH171" s="1704"/>
      <c r="AI171" s="1704"/>
      <c r="AJ171" s="1704"/>
      <c r="AK171" s="1704"/>
      <c r="AL171" s="1704"/>
    </row>
    <row r="172" spans="1:38" s="141" customFormat="1" ht="44.25" customHeight="1">
      <c r="A172" s="650"/>
      <c r="B172" s="9"/>
      <c r="C172" s="9" t="s">
        <v>16</v>
      </c>
      <c r="D172" s="1108" t="str">
        <f>"Realisasi Belanja Tahun Anggaran "&amp;'2.ISIAN DATA SKPD'!D11&amp;" mengalami peningkatan/penurunan sebesar "&amp;FIXED(T163)&amp;"% dari Realisasi Belanja Tahun Anggaran "&amp;'2.ISIAN DATA SKPD'!D12&amp;"."</f>
        <v>Realisasi Belanja Tahun Anggaran 2017 mengalami peningkatan/penurunan sebesar 27.87% dari Realisasi Belanja Tahun Anggaran 2016.</v>
      </c>
      <c r="E172" s="1108"/>
      <c r="F172" s="1108"/>
      <c r="G172" s="1108"/>
      <c r="H172" s="1108"/>
      <c r="I172" s="1108"/>
      <c r="J172" s="1108"/>
      <c r="K172" s="1108"/>
      <c r="L172" s="1108"/>
      <c r="M172" s="1108"/>
      <c r="N172" s="1108"/>
      <c r="O172" s="1108"/>
      <c r="P172" s="1108"/>
      <c r="Q172" s="1108"/>
      <c r="R172" s="1108"/>
      <c r="S172" s="1108"/>
      <c r="T172" s="1108"/>
      <c r="U172" s="1108"/>
      <c r="V172" s="1704"/>
      <c r="W172" s="1704"/>
      <c r="X172" s="1704"/>
      <c r="Y172" s="1704"/>
      <c r="Z172" s="1704"/>
      <c r="AA172" s="1704"/>
      <c r="AB172" s="1704"/>
      <c r="AC172" s="1704"/>
      <c r="AD172" s="1704"/>
      <c r="AE172" s="1704"/>
      <c r="AF172" s="1704"/>
      <c r="AG172" s="1704"/>
      <c r="AH172" s="1704"/>
      <c r="AI172" s="1704"/>
      <c r="AJ172" s="1704"/>
      <c r="AK172" s="1704"/>
      <c r="AL172" s="1704"/>
    </row>
    <row r="173" spans="1:38" s="141" customFormat="1" ht="45" customHeight="1">
      <c r="A173" s="650"/>
      <c r="B173" s="9"/>
      <c r="C173" s="9">
        <v>3</v>
      </c>
      <c r="D173" s="1108" t="str">
        <f>"Pembiayaan Netto Tahun Anggaran "&amp;'2.ISIAN DATA SKPD'!D11&amp;" tidak mengalami peningkatan/penurunan sebesar 0% dari Pembiayaan Netto Tahun Anggaran "&amp;"."</f>
        <v>Pembiayaan Netto Tahun Anggaran 2017 tidak mengalami peningkatan/penurunan sebesar 0% dari Pembiayaan Netto Tahun Anggaran .</v>
      </c>
      <c r="E173" s="1108"/>
      <c r="F173" s="1108"/>
      <c r="G173" s="1108"/>
      <c r="H173" s="1108"/>
      <c r="I173" s="1108"/>
      <c r="J173" s="1108"/>
      <c r="K173" s="1108"/>
      <c r="L173" s="1108"/>
      <c r="M173" s="1108"/>
      <c r="N173" s="1108"/>
      <c r="O173" s="1108"/>
      <c r="P173" s="1108"/>
      <c r="Q173" s="1108"/>
      <c r="R173" s="1108"/>
      <c r="S173" s="1108"/>
      <c r="T173" s="1108"/>
      <c r="U173" s="1108"/>
      <c r="V173" s="1704"/>
      <c r="W173" s="1704"/>
      <c r="X173" s="1704"/>
      <c r="Y173" s="1704"/>
      <c r="Z173" s="1704"/>
      <c r="AA173" s="1704"/>
      <c r="AB173" s="1704"/>
      <c r="AC173" s="1704"/>
      <c r="AD173" s="1704"/>
      <c r="AE173" s="1704"/>
      <c r="AF173" s="1704"/>
      <c r="AG173" s="1704"/>
      <c r="AH173" s="1704"/>
      <c r="AI173" s="1704"/>
      <c r="AJ173" s="1704"/>
      <c r="AK173" s="1704"/>
      <c r="AL173" s="1704"/>
    </row>
    <row r="174" spans="1:22" s="141" customFormat="1" ht="30.75" customHeight="1">
      <c r="A174" s="650"/>
      <c r="B174" s="9"/>
      <c r="C174" s="9" t="s">
        <v>786</v>
      </c>
      <c r="D174" s="1108" t="str">
        <f>"SILPA Tahun Anggaran "&amp;'2.ISIAN DATA SKPD'!D11&amp;" mengalami peningkatan/ penurunan sebesar "&amp;FIXED(T169)&amp;"% dibandingkan SILPA Tahun Anggaran "&amp;'2.ISIAN DATA SKPD'!D12&amp;"."</f>
        <v>SILPA Tahun Anggaran 2017 mengalami peningkatan/ penurunan sebesar 27.87% dibandingkan SILPA Tahun Anggaran 2016.</v>
      </c>
      <c r="E174" s="1108"/>
      <c r="F174" s="1108"/>
      <c r="G174" s="1108"/>
      <c r="H174" s="1108"/>
      <c r="I174" s="1108"/>
      <c r="J174" s="1108"/>
      <c r="K174" s="1108"/>
      <c r="L174" s="1108"/>
      <c r="M174" s="1108"/>
      <c r="N174" s="1108"/>
      <c r="O174" s="1108"/>
      <c r="P174" s="1108"/>
      <c r="Q174" s="1108"/>
      <c r="R174" s="1108"/>
      <c r="S174" s="1108"/>
      <c r="T174" s="1108"/>
      <c r="U174" s="1108"/>
      <c r="V174" s="52"/>
    </row>
    <row r="175" spans="1:22" s="141" customFormat="1" ht="4.5" customHeight="1">
      <c r="A175" s="650"/>
      <c r="B175" s="9"/>
      <c r="C175" s="9"/>
      <c r="D175" s="9"/>
      <c r="E175" s="9"/>
      <c r="F175" s="9"/>
      <c r="G175" s="9"/>
      <c r="H175" s="9"/>
      <c r="I175" s="9"/>
      <c r="J175" s="9"/>
      <c r="K175" s="9"/>
      <c r="L175" s="61"/>
      <c r="M175" s="61"/>
      <c r="N175" s="61"/>
      <c r="O175" s="61"/>
      <c r="P175" s="61"/>
      <c r="Q175" s="61"/>
      <c r="R175" s="61"/>
      <c r="S175" s="61"/>
      <c r="T175" s="61"/>
      <c r="U175" s="61"/>
      <c r="V175" s="52"/>
    </row>
    <row r="176" spans="1:22" s="141" customFormat="1" ht="16.5" customHeight="1">
      <c r="A176" s="650"/>
      <c r="B176" s="644" t="s">
        <v>1505</v>
      </c>
      <c r="C176" s="682"/>
      <c r="D176" s="682"/>
      <c r="E176" s="682"/>
      <c r="F176" s="682"/>
      <c r="G176" s="682"/>
      <c r="H176" s="682"/>
      <c r="I176" s="682"/>
      <c r="J176" s="682"/>
      <c r="K176" s="682"/>
      <c r="L176" s="683"/>
      <c r="M176" s="683"/>
      <c r="N176" s="683"/>
      <c r="O176" s="683"/>
      <c r="P176" s="683"/>
      <c r="Q176" s="683"/>
      <c r="R176" s="683"/>
      <c r="S176" s="683"/>
      <c r="T176" s="683"/>
      <c r="U176" s="683"/>
      <c r="V176" s="52"/>
    </row>
    <row r="177" spans="1:22" s="141" customFormat="1" ht="16.5" customHeight="1">
      <c r="A177" s="650"/>
      <c r="B177" s="682"/>
      <c r="C177" s="682" t="s">
        <v>15</v>
      </c>
      <c r="D177" s="1368" t="s">
        <v>1496</v>
      </c>
      <c r="E177" s="1368"/>
      <c r="F177" s="1368"/>
      <c r="G177" s="1368"/>
      <c r="H177" s="1368"/>
      <c r="I177" s="1368"/>
      <c r="J177" s="1368"/>
      <c r="K177" s="1368"/>
      <c r="L177" s="1368"/>
      <c r="M177" s="1368"/>
      <c r="N177" s="1368"/>
      <c r="O177" s="1368"/>
      <c r="P177" s="1368"/>
      <c r="Q177" s="1368"/>
      <c r="R177" s="1368"/>
      <c r="S177" s="1368"/>
      <c r="T177" s="1368"/>
      <c r="U177" s="1368"/>
      <c r="V177" s="52"/>
    </row>
    <row r="178" spans="1:22" s="141" customFormat="1" ht="16.5" customHeight="1">
      <c r="A178" s="650"/>
      <c r="B178" s="682"/>
      <c r="C178" s="682" t="s">
        <v>16</v>
      </c>
      <c r="D178" s="1368" t="s">
        <v>1497</v>
      </c>
      <c r="E178" s="1368"/>
      <c r="F178" s="1368"/>
      <c r="G178" s="1368"/>
      <c r="H178" s="1368"/>
      <c r="I178" s="1368"/>
      <c r="J178" s="1368"/>
      <c r="K178" s="1368"/>
      <c r="L178" s="1368"/>
      <c r="M178" s="1368"/>
      <c r="N178" s="1368"/>
      <c r="O178" s="1368"/>
      <c r="P178" s="1368"/>
      <c r="Q178" s="1368"/>
      <c r="R178" s="1368"/>
      <c r="S178" s="1368"/>
      <c r="T178" s="1368"/>
      <c r="U178" s="1368"/>
      <c r="V178" s="52"/>
    </row>
    <row r="179" spans="1:22" s="141" customFormat="1" ht="16.5" customHeight="1">
      <c r="A179" s="650"/>
      <c r="B179" s="682"/>
      <c r="C179" s="682" t="s">
        <v>17</v>
      </c>
      <c r="D179" s="1368" t="s">
        <v>1499</v>
      </c>
      <c r="E179" s="1368"/>
      <c r="F179" s="1368"/>
      <c r="G179" s="1368"/>
      <c r="H179" s="1368"/>
      <c r="I179" s="1368"/>
      <c r="J179" s="1368"/>
      <c r="K179" s="1368"/>
      <c r="L179" s="1368"/>
      <c r="M179" s="1368"/>
      <c r="N179" s="1368"/>
      <c r="O179" s="1368"/>
      <c r="P179" s="1368"/>
      <c r="Q179" s="1368"/>
      <c r="R179" s="1368"/>
      <c r="S179" s="1368"/>
      <c r="T179" s="1368"/>
      <c r="U179" s="1368"/>
      <c r="V179" s="52"/>
    </row>
    <row r="180" spans="1:22" s="141" customFormat="1" ht="16.5" customHeight="1">
      <c r="A180" s="650"/>
      <c r="B180" s="682"/>
      <c r="C180" s="682" t="s">
        <v>786</v>
      </c>
      <c r="D180" s="1368" t="s">
        <v>1498</v>
      </c>
      <c r="E180" s="1368"/>
      <c r="F180" s="1368"/>
      <c r="G180" s="1368"/>
      <c r="H180" s="1368"/>
      <c r="I180" s="1368"/>
      <c r="J180" s="1368"/>
      <c r="K180" s="1368"/>
      <c r="L180" s="1368"/>
      <c r="M180" s="1368"/>
      <c r="N180" s="1368"/>
      <c r="O180" s="1368"/>
      <c r="P180" s="1368"/>
      <c r="Q180" s="1368"/>
      <c r="R180" s="1368"/>
      <c r="S180" s="1368"/>
      <c r="T180" s="1368"/>
      <c r="U180" s="1368"/>
      <c r="V180" s="52"/>
    </row>
    <row r="181" spans="1:22" s="141" customFormat="1" ht="11.25" customHeight="1">
      <c r="A181" s="650"/>
      <c r="B181" s="682"/>
      <c r="C181" s="1368"/>
      <c r="D181" s="1368"/>
      <c r="E181" s="1368"/>
      <c r="F181" s="1368"/>
      <c r="G181" s="1368"/>
      <c r="H181" s="1368"/>
      <c r="I181" s="1368"/>
      <c r="J181" s="1368"/>
      <c r="K181" s="1368"/>
      <c r="L181" s="1368"/>
      <c r="M181" s="1368"/>
      <c r="N181" s="1368"/>
      <c r="O181" s="1368"/>
      <c r="P181" s="1368"/>
      <c r="Q181" s="1368"/>
      <c r="R181" s="1368"/>
      <c r="S181" s="1368"/>
      <c r="T181" s="1368"/>
      <c r="U181" s="1368"/>
      <c r="V181" s="52"/>
    </row>
    <row r="182" spans="1:22" s="141" customFormat="1" ht="6.75" customHeight="1">
      <c r="A182" s="650"/>
      <c r="B182" s="9"/>
      <c r="C182" s="9"/>
      <c r="D182" s="9"/>
      <c r="E182" s="9"/>
      <c r="F182" s="9"/>
      <c r="G182" s="9"/>
      <c r="H182" s="9"/>
      <c r="I182" s="9"/>
      <c r="J182" s="9"/>
      <c r="K182" s="9"/>
      <c r="L182" s="61"/>
      <c r="M182" s="61"/>
      <c r="N182" s="61"/>
      <c r="O182" s="61"/>
      <c r="P182" s="61"/>
      <c r="Q182" s="61"/>
      <c r="R182" s="61"/>
      <c r="S182" s="61"/>
      <c r="T182" s="61"/>
      <c r="U182" s="61"/>
      <c r="V182" s="52"/>
    </row>
    <row r="183" spans="1:22" s="141" customFormat="1" ht="16.5" customHeight="1" hidden="1">
      <c r="A183" s="650"/>
      <c r="B183" s="9"/>
      <c r="C183" s="9"/>
      <c r="D183" s="9"/>
      <c r="E183" s="9"/>
      <c r="F183" s="9"/>
      <c r="G183" s="9"/>
      <c r="H183" s="9"/>
      <c r="I183" s="9"/>
      <c r="J183" s="9"/>
      <c r="K183" s="9"/>
      <c r="L183" s="61"/>
      <c r="M183" s="61"/>
      <c r="N183" s="61"/>
      <c r="O183" s="61"/>
      <c r="P183" s="61"/>
      <c r="Q183" s="61"/>
      <c r="R183" s="61"/>
      <c r="S183" s="61"/>
      <c r="T183" s="61"/>
      <c r="U183" s="61"/>
      <c r="V183" s="52"/>
    </row>
    <row r="184" spans="1:22" s="141" customFormat="1" ht="16.5" customHeight="1" hidden="1">
      <c r="A184" s="650"/>
      <c r="B184" s="9"/>
      <c r="C184" s="9"/>
      <c r="D184" s="9"/>
      <c r="E184" s="9"/>
      <c r="F184" s="9"/>
      <c r="G184" s="9"/>
      <c r="H184" s="9"/>
      <c r="I184" s="9"/>
      <c r="J184" s="9"/>
      <c r="K184" s="9"/>
      <c r="L184" s="61"/>
      <c r="M184" s="61"/>
      <c r="N184" s="61"/>
      <c r="O184" s="61"/>
      <c r="P184" s="61"/>
      <c r="Q184" s="61"/>
      <c r="R184" s="61"/>
      <c r="S184" s="61"/>
      <c r="T184" s="61"/>
      <c r="U184" s="61"/>
      <c r="V184" s="52"/>
    </row>
    <row r="185" spans="1:22" s="141" customFormat="1" ht="15" customHeight="1" hidden="1">
      <c r="A185" s="650"/>
      <c r="B185" s="9"/>
      <c r="C185" s="9"/>
      <c r="D185" s="9"/>
      <c r="E185" s="9"/>
      <c r="F185" s="9"/>
      <c r="G185" s="9"/>
      <c r="H185" s="9"/>
      <c r="I185" s="9"/>
      <c r="J185" s="9"/>
      <c r="K185" s="9"/>
      <c r="L185" s="61"/>
      <c r="M185" s="61"/>
      <c r="N185" s="61"/>
      <c r="O185" s="61"/>
      <c r="P185" s="61"/>
      <c r="Q185" s="61"/>
      <c r="R185" s="61"/>
      <c r="S185" s="61"/>
      <c r="T185" s="61"/>
      <c r="U185" s="61"/>
      <c r="V185" s="52"/>
    </row>
    <row r="186" spans="1:22" s="141" customFormat="1" ht="16.5" customHeight="1" hidden="1">
      <c r="A186" s="650"/>
      <c r="B186" s="9"/>
      <c r="C186" s="9"/>
      <c r="D186" s="9"/>
      <c r="E186" s="9"/>
      <c r="F186" s="9"/>
      <c r="G186" s="9"/>
      <c r="H186" s="9"/>
      <c r="I186" s="9"/>
      <c r="J186" s="9"/>
      <c r="K186" s="9"/>
      <c r="L186" s="61"/>
      <c r="M186" s="61"/>
      <c r="N186" s="61"/>
      <c r="O186" s="61"/>
      <c r="P186" s="61"/>
      <c r="Q186" s="61"/>
      <c r="R186" s="61"/>
      <c r="S186" s="61"/>
      <c r="T186" s="61"/>
      <c r="U186" s="61"/>
      <c r="V186" s="52"/>
    </row>
    <row r="187" spans="1:22" s="141" customFormat="1" ht="16.5" customHeight="1" hidden="1">
      <c r="A187" s="650"/>
      <c r="B187" s="9"/>
      <c r="C187" s="9"/>
      <c r="D187" s="9"/>
      <c r="E187" s="9"/>
      <c r="F187" s="9"/>
      <c r="G187" s="9"/>
      <c r="H187" s="9"/>
      <c r="I187" s="9"/>
      <c r="J187" s="9"/>
      <c r="K187" s="9"/>
      <c r="L187" s="61"/>
      <c r="M187" s="61"/>
      <c r="N187" s="61"/>
      <c r="O187" s="61"/>
      <c r="P187" s="61"/>
      <c r="Q187" s="61"/>
      <c r="R187" s="61"/>
      <c r="S187" s="61"/>
      <c r="T187" s="61"/>
      <c r="U187" s="61"/>
      <c r="V187" s="52"/>
    </row>
    <row r="188" spans="1:22" s="141" customFormat="1" ht="16.5" customHeight="1" hidden="1">
      <c r="A188" s="650"/>
      <c r="B188" s="9"/>
      <c r="C188" s="9"/>
      <c r="D188" s="9"/>
      <c r="E188" s="9"/>
      <c r="F188" s="9"/>
      <c r="G188" s="9"/>
      <c r="H188" s="9"/>
      <c r="I188" s="9"/>
      <c r="J188" s="9"/>
      <c r="K188" s="9"/>
      <c r="L188" s="61"/>
      <c r="M188" s="61"/>
      <c r="N188" s="61"/>
      <c r="O188" s="61"/>
      <c r="P188" s="61"/>
      <c r="Q188" s="61"/>
      <c r="R188" s="61"/>
      <c r="S188" s="61"/>
      <c r="T188" s="61"/>
      <c r="U188" s="61"/>
      <c r="V188" s="52"/>
    </row>
    <row r="189" spans="1:22" s="141" customFormat="1" ht="16.5" customHeight="1" hidden="1">
      <c r="A189" s="650"/>
      <c r="B189" s="9"/>
      <c r="C189" s="9"/>
      <c r="D189" s="9"/>
      <c r="E189" s="9"/>
      <c r="F189" s="9"/>
      <c r="G189" s="9"/>
      <c r="H189" s="9"/>
      <c r="I189" s="9"/>
      <c r="J189" s="9"/>
      <c r="K189" s="9"/>
      <c r="L189" s="61"/>
      <c r="M189" s="61"/>
      <c r="N189" s="61"/>
      <c r="O189" s="61"/>
      <c r="P189" s="61"/>
      <c r="Q189" s="61"/>
      <c r="R189" s="61"/>
      <c r="S189" s="61"/>
      <c r="T189" s="61"/>
      <c r="U189" s="61"/>
      <c r="V189" s="52"/>
    </row>
    <row r="190" spans="1:22" s="141" customFormat="1" ht="16.5" customHeight="1" hidden="1">
      <c r="A190" s="650"/>
      <c r="B190" s="9"/>
      <c r="C190" s="9"/>
      <c r="D190" s="9"/>
      <c r="E190" s="9"/>
      <c r="F190" s="9"/>
      <c r="G190" s="9"/>
      <c r="H190" s="9"/>
      <c r="I190" s="9"/>
      <c r="J190" s="9"/>
      <c r="K190" s="9"/>
      <c r="L190" s="61"/>
      <c r="M190" s="61"/>
      <c r="N190" s="61"/>
      <c r="O190" s="61"/>
      <c r="P190" s="61"/>
      <c r="Q190" s="61"/>
      <c r="R190" s="61"/>
      <c r="S190" s="61"/>
      <c r="T190" s="61"/>
      <c r="U190" s="61"/>
      <c r="V190" s="52"/>
    </row>
    <row r="191" spans="1:22" s="141" customFormat="1" ht="16.5" customHeight="1" hidden="1">
      <c r="A191" s="650"/>
      <c r="B191" s="9"/>
      <c r="C191" s="9"/>
      <c r="D191" s="9"/>
      <c r="E191" s="9"/>
      <c r="F191" s="9"/>
      <c r="G191" s="9"/>
      <c r="H191" s="9"/>
      <c r="I191" s="9"/>
      <c r="J191" s="9"/>
      <c r="K191" s="9"/>
      <c r="L191" s="61"/>
      <c r="M191" s="61"/>
      <c r="N191" s="61"/>
      <c r="O191" s="61"/>
      <c r="P191" s="61"/>
      <c r="Q191" s="61"/>
      <c r="R191" s="61"/>
      <c r="S191" s="61"/>
      <c r="T191" s="61"/>
      <c r="U191" s="61"/>
      <c r="V191" s="52"/>
    </row>
    <row r="192" spans="1:22" s="141" customFormat="1" ht="14.25" customHeight="1" hidden="1">
      <c r="A192" s="650"/>
      <c r="B192" s="9"/>
      <c r="C192" s="9"/>
      <c r="D192" s="9"/>
      <c r="E192" s="9"/>
      <c r="F192" s="9"/>
      <c r="G192" s="9"/>
      <c r="H192" s="9"/>
      <c r="I192" s="9"/>
      <c r="J192" s="9"/>
      <c r="K192" s="9"/>
      <c r="L192" s="61"/>
      <c r="M192" s="61"/>
      <c r="N192" s="61"/>
      <c r="O192" s="61"/>
      <c r="P192" s="61"/>
      <c r="Q192" s="61"/>
      <c r="R192" s="61"/>
      <c r="S192" s="61"/>
      <c r="T192" s="61"/>
      <c r="U192" s="61"/>
      <c r="V192" s="52"/>
    </row>
    <row r="193" spans="1:22" s="141" customFormat="1" ht="16.5" customHeight="1" hidden="1">
      <c r="A193" s="650"/>
      <c r="B193" s="9"/>
      <c r="C193" s="9"/>
      <c r="D193" s="9"/>
      <c r="E193" s="9"/>
      <c r="F193" s="9"/>
      <c r="G193" s="9"/>
      <c r="H193" s="9"/>
      <c r="I193" s="9"/>
      <c r="J193" s="9"/>
      <c r="K193" s="9"/>
      <c r="L193" s="61"/>
      <c r="M193" s="61"/>
      <c r="N193" s="61"/>
      <c r="O193" s="61"/>
      <c r="P193" s="61"/>
      <c r="Q193" s="61"/>
      <c r="R193" s="61"/>
      <c r="S193" s="61"/>
      <c r="T193" s="61"/>
      <c r="U193" s="61"/>
      <c r="V193" s="52"/>
    </row>
    <row r="194" spans="1:22" s="141" customFormat="1" ht="16.5" customHeight="1" hidden="1">
      <c r="A194" s="650"/>
      <c r="B194" s="9"/>
      <c r="C194" s="9"/>
      <c r="D194" s="9"/>
      <c r="E194" s="9"/>
      <c r="F194" s="9"/>
      <c r="G194" s="9"/>
      <c r="H194" s="9"/>
      <c r="I194" s="9"/>
      <c r="J194" s="9"/>
      <c r="K194" s="9"/>
      <c r="L194" s="61"/>
      <c r="M194" s="61"/>
      <c r="N194" s="61"/>
      <c r="O194" s="61"/>
      <c r="P194" s="61"/>
      <c r="Q194" s="61"/>
      <c r="R194" s="61"/>
      <c r="S194" s="61"/>
      <c r="T194" s="61"/>
      <c r="U194" s="61"/>
      <c r="V194" s="52"/>
    </row>
    <row r="195" spans="1:22" s="141" customFormat="1" ht="16.5" customHeight="1" hidden="1">
      <c r="A195" s="650"/>
      <c r="B195" s="9"/>
      <c r="C195" s="9"/>
      <c r="D195" s="9"/>
      <c r="E195" s="9"/>
      <c r="F195" s="9"/>
      <c r="G195" s="9"/>
      <c r="H195" s="9"/>
      <c r="I195" s="9"/>
      <c r="J195" s="9"/>
      <c r="K195" s="9"/>
      <c r="L195" s="61"/>
      <c r="M195" s="61"/>
      <c r="N195" s="61"/>
      <c r="O195" s="61"/>
      <c r="P195" s="61"/>
      <c r="Q195" s="61"/>
      <c r="R195" s="61"/>
      <c r="S195" s="61"/>
      <c r="T195" s="61"/>
      <c r="U195" s="61"/>
      <c r="V195" s="52"/>
    </row>
    <row r="196" spans="1:22" s="141" customFormat="1" ht="16.5" customHeight="1" hidden="1">
      <c r="A196" s="650"/>
      <c r="B196" s="9"/>
      <c r="C196" s="9"/>
      <c r="D196" s="9"/>
      <c r="E196" s="9"/>
      <c r="F196" s="9"/>
      <c r="G196" s="9"/>
      <c r="H196" s="9"/>
      <c r="I196" s="9"/>
      <c r="J196" s="9"/>
      <c r="K196" s="9"/>
      <c r="L196" s="61"/>
      <c r="M196" s="61"/>
      <c r="N196" s="61"/>
      <c r="O196" s="61"/>
      <c r="P196" s="61"/>
      <c r="Q196" s="61"/>
      <c r="R196" s="61"/>
      <c r="S196" s="61"/>
      <c r="T196" s="61"/>
      <c r="U196" s="61"/>
      <c r="V196" s="52"/>
    </row>
    <row r="197" spans="1:22" s="141" customFormat="1" ht="16.5" customHeight="1" hidden="1">
      <c r="A197" s="650"/>
      <c r="B197" s="9"/>
      <c r="C197" s="9"/>
      <c r="D197" s="9"/>
      <c r="E197" s="9"/>
      <c r="F197" s="9"/>
      <c r="G197" s="9"/>
      <c r="H197" s="9"/>
      <c r="I197" s="9"/>
      <c r="J197" s="9"/>
      <c r="K197" s="9"/>
      <c r="L197" s="61"/>
      <c r="M197" s="61"/>
      <c r="N197" s="61"/>
      <c r="O197" s="61"/>
      <c r="P197" s="61"/>
      <c r="Q197" s="61"/>
      <c r="R197" s="61"/>
      <c r="S197" s="61"/>
      <c r="T197" s="61"/>
      <c r="U197" s="61"/>
      <c r="V197" s="52"/>
    </row>
    <row r="198" spans="1:22" s="141" customFormat="1" ht="16.5" customHeight="1" hidden="1">
      <c r="A198" s="650"/>
      <c r="B198" s="9"/>
      <c r="C198" s="9"/>
      <c r="D198" s="9"/>
      <c r="E198" s="9"/>
      <c r="F198" s="9"/>
      <c r="G198" s="9"/>
      <c r="H198" s="9"/>
      <c r="I198" s="9"/>
      <c r="J198" s="9"/>
      <c r="K198" s="9"/>
      <c r="L198" s="61"/>
      <c r="M198" s="61"/>
      <c r="N198" s="61"/>
      <c r="O198" s="61"/>
      <c r="P198" s="61"/>
      <c r="Q198" s="61"/>
      <c r="R198" s="61"/>
      <c r="S198" s="61"/>
      <c r="T198" s="61"/>
      <c r="U198" s="61"/>
      <c r="V198" s="52"/>
    </row>
    <row r="199" spans="1:22" s="141" customFormat="1" ht="16.5" customHeight="1" hidden="1">
      <c r="A199" s="650"/>
      <c r="B199" s="9"/>
      <c r="C199" s="9"/>
      <c r="D199" s="9"/>
      <c r="E199" s="9"/>
      <c r="F199" s="9"/>
      <c r="G199" s="9"/>
      <c r="H199" s="9"/>
      <c r="I199" s="9"/>
      <c r="J199" s="9"/>
      <c r="K199" s="9"/>
      <c r="L199" s="61"/>
      <c r="M199" s="61"/>
      <c r="N199" s="61"/>
      <c r="O199" s="61"/>
      <c r="P199" s="61"/>
      <c r="Q199" s="61"/>
      <c r="R199" s="61"/>
      <c r="S199" s="61"/>
      <c r="T199" s="61"/>
      <c r="U199" s="61"/>
      <c r="V199" s="52"/>
    </row>
    <row r="200" spans="1:22" s="141" customFormat="1" ht="16.5" customHeight="1" hidden="1">
      <c r="A200" s="650"/>
      <c r="B200" s="9"/>
      <c r="C200" s="9"/>
      <c r="D200" s="9"/>
      <c r="E200" s="9"/>
      <c r="F200" s="9"/>
      <c r="G200" s="9"/>
      <c r="H200" s="9"/>
      <c r="I200" s="9"/>
      <c r="J200" s="9"/>
      <c r="K200" s="9"/>
      <c r="L200" s="61"/>
      <c r="M200" s="61"/>
      <c r="N200" s="61"/>
      <c r="O200" s="61"/>
      <c r="P200" s="61"/>
      <c r="Q200" s="61"/>
      <c r="R200" s="61"/>
      <c r="S200" s="61"/>
      <c r="T200" s="61"/>
      <c r="U200" s="61"/>
      <c r="V200" s="52"/>
    </row>
    <row r="201" spans="1:22" s="141" customFormat="1" ht="16.5" customHeight="1" hidden="1">
      <c r="A201" s="650"/>
      <c r="B201" s="9"/>
      <c r="C201" s="9"/>
      <c r="D201" s="9"/>
      <c r="E201" s="9"/>
      <c r="F201" s="9"/>
      <c r="G201" s="9"/>
      <c r="H201" s="9"/>
      <c r="I201" s="9"/>
      <c r="J201" s="9"/>
      <c r="K201" s="9"/>
      <c r="L201" s="61"/>
      <c r="M201" s="61"/>
      <c r="N201" s="61"/>
      <c r="O201" s="61"/>
      <c r="P201" s="61"/>
      <c r="Q201" s="61"/>
      <c r="R201" s="61"/>
      <c r="S201" s="61"/>
      <c r="T201" s="61"/>
      <c r="U201" s="61"/>
      <c r="V201" s="52"/>
    </row>
    <row r="202" spans="1:22" s="141" customFormat="1" ht="16.5" customHeight="1" hidden="1">
      <c r="A202" s="650"/>
      <c r="B202" s="9"/>
      <c r="C202" s="9"/>
      <c r="D202" s="9"/>
      <c r="E202" s="9"/>
      <c r="F202" s="9"/>
      <c r="G202" s="9"/>
      <c r="H202" s="9"/>
      <c r="I202" s="9"/>
      <c r="J202" s="9"/>
      <c r="K202" s="9"/>
      <c r="L202" s="61"/>
      <c r="M202" s="61"/>
      <c r="N202" s="61"/>
      <c r="O202" s="61"/>
      <c r="P202" s="61"/>
      <c r="Q202" s="61"/>
      <c r="R202" s="61"/>
      <c r="S202" s="61"/>
      <c r="T202" s="61"/>
      <c r="U202" s="61"/>
      <c r="V202" s="52"/>
    </row>
    <row r="203" spans="1:22" s="141" customFormat="1" ht="12" customHeight="1" hidden="1">
      <c r="A203" s="650"/>
      <c r="B203" s="9"/>
      <c r="C203" s="9"/>
      <c r="D203" s="9"/>
      <c r="E203" s="9"/>
      <c r="F203" s="9"/>
      <c r="G203" s="9"/>
      <c r="H203" s="9"/>
      <c r="I203" s="9"/>
      <c r="J203" s="9"/>
      <c r="K203" s="9"/>
      <c r="L203" s="61"/>
      <c r="M203" s="61"/>
      <c r="N203" s="61"/>
      <c r="O203" s="61"/>
      <c r="P203" s="61"/>
      <c r="Q203" s="61"/>
      <c r="R203" s="61"/>
      <c r="S203" s="61"/>
      <c r="T203" s="61"/>
      <c r="U203" s="61"/>
      <c r="V203" s="52"/>
    </row>
    <row r="204" spans="1:22" s="141" customFormat="1" ht="16.5" customHeight="1" hidden="1">
      <c r="A204" s="650"/>
      <c r="B204" s="9"/>
      <c r="C204" s="9"/>
      <c r="D204" s="9"/>
      <c r="E204" s="9"/>
      <c r="F204" s="9"/>
      <c r="G204" s="9"/>
      <c r="H204" s="9"/>
      <c r="I204" s="9"/>
      <c r="J204" s="9"/>
      <c r="K204" s="9"/>
      <c r="L204" s="61"/>
      <c r="M204" s="61"/>
      <c r="N204" s="61"/>
      <c r="O204" s="61"/>
      <c r="P204" s="61"/>
      <c r="Q204" s="61"/>
      <c r="R204" s="61"/>
      <c r="S204" s="61"/>
      <c r="T204" s="61"/>
      <c r="U204" s="61"/>
      <c r="V204" s="52"/>
    </row>
    <row r="205" spans="1:22" s="141" customFormat="1" ht="16.5" customHeight="1" hidden="1">
      <c r="A205" s="650"/>
      <c r="B205" s="9"/>
      <c r="C205" s="9"/>
      <c r="D205" s="9"/>
      <c r="E205" s="9"/>
      <c r="F205" s="9"/>
      <c r="G205" s="9"/>
      <c r="H205" s="9"/>
      <c r="I205" s="9"/>
      <c r="J205" s="9"/>
      <c r="K205" s="9"/>
      <c r="L205" s="61"/>
      <c r="M205" s="61"/>
      <c r="N205" s="61"/>
      <c r="O205" s="61"/>
      <c r="P205" s="61"/>
      <c r="Q205" s="61"/>
      <c r="R205" s="61"/>
      <c r="S205" s="61"/>
      <c r="T205" s="61"/>
      <c r="U205" s="61"/>
      <c r="V205" s="52"/>
    </row>
    <row r="206" spans="1:22" s="141" customFormat="1" ht="16.5" customHeight="1" hidden="1">
      <c r="A206" s="650"/>
      <c r="B206" s="9"/>
      <c r="C206" s="9"/>
      <c r="D206" s="9"/>
      <c r="E206" s="9"/>
      <c r="F206" s="9"/>
      <c r="G206" s="9"/>
      <c r="H206" s="9"/>
      <c r="I206" s="9"/>
      <c r="J206" s="9"/>
      <c r="K206" s="9"/>
      <c r="L206" s="61"/>
      <c r="M206" s="61"/>
      <c r="N206" s="61"/>
      <c r="O206" s="61"/>
      <c r="P206" s="61"/>
      <c r="Q206" s="61"/>
      <c r="R206" s="61"/>
      <c r="S206" s="61"/>
      <c r="T206" s="61"/>
      <c r="U206" s="61"/>
      <c r="V206" s="52"/>
    </row>
    <row r="207" spans="1:22" s="141" customFormat="1" ht="16.5" customHeight="1" hidden="1">
      <c r="A207" s="650"/>
      <c r="B207" s="9"/>
      <c r="C207" s="9"/>
      <c r="D207" s="9"/>
      <c r="E207" s="9"/>
      <c r="F207" s="9"/>
      <c r="G207" s="9"/>
      <c r="H207" s="9"/>
      <c r="I207" s="9"/>
      <c r="J207" s="9"/>
      <c r="K207" s="9"/>
      <c r="L207" s="61"/>
      <c r="M207" s="61"/>
      <c r="N207" s="61"/>
      <c r="O207" s="61"/>
      <c r="P207" s="61"/>
      <c r="Q207" s="61"/>
      <c r="R207" s="61"/>
      <c r="S207" s="61"/>
      <c r="T207" s="61"/>
      <c r="U207" s="61"/>
      <c r="V207" s="52"/>
    </row>
    <row r="208" spans="1:22" s="141" customFormat="1" ht="16.5" customHeight="1" hidden="1">
      <c r="A208" s="650"/>
      <c r="B208" s="9"/>
      <c r="C208" s="9"/>
      <c r="D208" s="9"/>
      <c r="E208" s="9"/>
      <c r="F208" s="9"/>
      <c r="G208" s="9"/>
      <c r="H208" s="9"/>
      <c r="I208" s="9"/>
      <c r="J208" s="9"/>
      <c r="K208" s="9"/>
      <c r="L208" s="61"/>
      <c r="M208" s="61"/>
      <c r="N208" s="61"/>
      <c r="O208" s="61"/>
      <c r="P208" s="61"/>
      <c r="Q208" s="61"/>
      <c r="R208" s="61"/>
      <c r="S208" s="61"/>
      <c r="T208" s="61"/>
      <c r="U208" s="61"/>
      <c r="V208" s="52"/>
    </row>
    <row r="209" spans="1:22" s="141" customFormat="1" ht="16.5" customHeight="1" hidden="1">
      <c r="A209" s="650"/>
      <c r="B209" s="9"/>
      <c r="C209" s="9"/>
      <c r="D209" s="9"/>
      <c r="E209" s="9"/>
      <c r="F209" s="9"/>
      <c r="G209" s="9"/>
      <c r="H209" s="9"/>
      <c r="I209" s="9"/>
      <c r="J209" s="9"/>
      <c r="K209" s="9"/>
      <c r="L209" s="61"/>
      <c r="M209" s="61"/>
      <c r="N209" s="61"/>
      <c r="O209" s="61"/>
      <c r="P209" s="61"/>
      <c r="Q209" s="61"/>
      <c r="R209" s="61"/>
      <c r="S209" s="61"/>
      <c r="T209" s="61"/>
      <c r="U209" s="61"/>
      <c r="V209" s="52"/>
    </row>
    <row r="210" spans="1:22" s="141" customFormat="1" ht="16.5" customHeight="1" hidden="1">
      <c r="A210" s="650"/>
      <c r="B210" s="9"/>
      <c r="C210" s="9"/>
      <c r="D210" s="9"/>
      <c r="E210" s="9"/>
      <c r="F210" s="9"/>
      <c r="G210" s="9"/>
      <c r="H210" s="9"/>
      <c r="I210" s="9"/>
      <c r="J210" s="9"/>
      <c r="K210" s="9"/>
      <c r="L210" s="61"/>
      <c r="M210" s="61"/>
      <c r="N210" s="61"/>
      <c r="O210" s="61"/>
      <c r="P210" s="61"/>
      <c r="Q210" s="61"/>
      <c r="R210" s="61"/>
      <c r="S210" s="61"/>
      <c r="T210" s="61"/>
      <c r="U210" s="61"/>
      <c r="V210" s="52"/>
    </row>
    <row r="211" spans="1:22" s="141" customFormat="1" ht="16.5" customHeight="1" hidden="1">
      <c r="A211" s="650"/>
      <c r="B211" s="9"/>
      <c r="C211" s="9"/>
      <c r="D211" s="9"/>
      <c r="E211" s="9"/>
      <c r="F211" s="9"/>
      <c r="G211" s="9"/>
      <c r="H211" s="9"/>
      <c r="I211" s="9"/>
      <c r="J211" s="9"/>
      <c r="K211" s="9"/>
      <c r="L211" s="61"/>
      <c r="M211" s="61"/>
      <c r="N211" s="61"/>
      <c r="O211" s="61"/>
      <c r="P211" s="61"/>
      <c r="Q211" s="61"/>
      <c r="R211" s="61"/>
      <c r="S211" s="61"/>
      <c r="T211" s="61"/>
      <c r="U211" s="61"/>
      <c r="V211" s="52"/>
    </row>
    <row r="212" spans="1:22" s="141" customFormat="1" ht="16.5" customHeight="1" hidden="1">
      <c r="A212" s="650"/>
      <c r="B212" s="9"/>
      <c r="C212" s="9"/>
      <c r="D212" s="9"/>
      <c r="E212" s="9"/>
      <c r="F212" s="9"/>
      <c r="G212" s="9"/>
      <c r="H212" s="9"/>
      <c r="I212" s="9"/>
      <c r="J212" s="9"/>
      <c r="K212" s="9"/>
      <c r="L212" s="61"/>
      <c r="M212" s="61"/>
      <c r="N212" s="61"/>
      <c r="O212" s="61"/>
      <c r="P212" s="61"/>
      <c r="Q212" s="61"/>
      <c r="R212" s="61"/>
      <c r="S212" s="61"/>
      <c r="T212" s="61"/>
      <c r="U212" s="61"/>
      <c r="V212" s="52"/>
    </row>
    <row r="213" spans="1:22" s="141" customFormat="1" ht="16.5" customHeight="1" hidden="1">
      <c r="A213" s="650"/>
      <c r="B213" s="9"/>
      <c r="C213" s="9"/>
      <c r="D213" s="9"/>
      <c r="E213" s="9"/>
      <c r="F213" s="9"/>
      <c r="G213" s="9"/>
      <c r="H213" s="9"/>
      <c r="I213" s="9"/>
      <c r="J213" s="9"/>
      <c r="K213" s="9"/>
      <c r="L213" s="61"/>
      <c r="M213" s="61"/>
      <c r="N213" s="61"/>
      <c r="O213" s="61"/>
      <c r="P213" s="61"/>
      <c r="Q213" s="61"/>
      <c r="R213" s="61"/>
      <c r="S213" s="61"/>
      <c r="T213" s="61"/>
      <c r="U213" s="61"/>
      <c r="V213" s="52"/>
    </row>
    <row r="214" spans="1:22" s="141" customFormat="1" ht="16.5" customHeight="1" hidden="1">
      <c r="A214" s="650"/>
      <c r="B214" s="9"/>
      <c r="C214" s="9"/>
      <c r="D214" s="9"/>
      <c r="E214" s="9"/>
      <c r="F214" s="9"/>
      <c r="G214" s="9"/>
      <c r="H214" s="9"/>
      <c r="I214" s="9"/>
      <c r="J214" s="9"/>
      <c r="K214" s="9"/>
      <c r="L214" s="61"/>
      <c r="M214" s="61"/>
      <c r="N214" s="61"/>
      <c r="O214" s="61"/>
      <c r="P214" s="61"/>
      <c r="Q214" s="61"/>
      <c r="R214" s="61"/>
      <c r="S214" s="61"/>
      <c r="T214" s="61"/>
      <c r="U214" s="61"/>
      <c r="V214" s="52"/>
    </row>
    <row r="215" spans="1:22" s="141" customFormat="1" ht="5.25" customHeight="1" hidden="1">
      <c r="A215" s="650"/>
      <c r="B215" s="9"/>
      <c r="C215" s="9"/>
      <c r="D215" s="9"/>
      <c r="E215" s="9"/>
      <c r="F215" s="9"/>
      <c r="G215" s="9"/>
      <c r="H215" s="9"/>
      <c r="I215" s="9"/>
      <c r="J215" s="9"/>
      <c r="K215" s="9"/>
      <c r="L215" s="61"/>
      <c r="M215" s="61"/>
      <c r="N215" s="61"/>
      <c r="O215" s="61"/>
      <c r="P215" s="61"/>
      <c r="Q215" s="61"/>
      <c r="R215" s="61"/>
      <c r="S215" s="61"/>
      <c r="T215" s="61"/>
      <c r="U215" s="61"/>
      <c r="V215" s="52"/>
    </row>
    <row r="216" spans="1:22" s="141" customFormat="1" ht="16.5" customHeight="1" hidden="1">
      <c r="A216" s="650"/>
      <c r="B216" s="9"/>
      <c r="C216" s="9"/>
      <c r="D216" s="9"/>
      <c r="E216" s="9"/>
      <c r="F216" s="9"/>
      <c r="G216" s="9"/>
      <c r="H216" s="9"/>
      <c r="I216" s="9"/>
      <c r="J216" s="9"/>
      <c r="K216" s="9"/>
      <c r="L216" s="61"/>
      <c r="M216" s="61"/>
      <c r="N216" s="61"/>
      <c r="O216" s="61"/>
      <c r="P216" s="61"/>
      <c r="Q216" s="61"/>
      <c r="R216" s="61"/>
      <c r="S216" s="61"/>
      <c r="T216" s="61"/>
      <c r="U216" s="61"/>
      <c r="V216" s="52"/>
    </row>
    <row r="217" spans="1:22" s="141" customFormat="1" ht="16.5" customHeight="1" hidden="1">
      <c r="A217" s="650"/>
      <c r="B217" s="9"/>
      <c r="C217" s="9"/>
      <c r="D217" s="9"/>
      <c r="E217" s="9"/>
      <c r="F217" s="9"/>
      <c r="G217" s="9"/>
      <c r="H217" s="9"/>
      <c r="I217" s="9"/>
      <c r="J217" s="9"/>
      <c r="K217" s="9"/>
      <c r="L217" s="61"/>
      <c r="M217" s="61"/>
      <c r="N217" s="61"/>
      <c r="O217" s="61"/>
      <c r="P217" s="61"/>
      <c r="Q217" s="61"/>
      <c r="R217" s="61"/>
      <c r="S217" s="61"/>
      <c r="T217" s="61"/>
      <c r="U217" s="61"/>
      <c r="V217" s="52"/>
    </row>
    <row r="218" spans="1:22" s="141" customFormat="1" ht="16.5" customHeight="1" hidden="1">
      <c r="A218" s="650"/>
      <c r="B218" s="9"/>
      <c r="C218" s="9"/>
      <c r="D218" s="9"/>
      <c r="E218" s="9"/>
      <c r="F218" s="9"/>
      <c r="G218" s="9"/>
      <c r="H218" s="9"/>
      <c r="I218" s="9"/>
      <c r="J218" s="9"/>
      <c r="K218" s="9"/>
      <c r="L218" s="61"/>
      <c r="M218" s="61"/>
      <c r="N218" s="61"/>
      <c r="O218" s="61"/>
      <c r="P218" s="61"/>
      <c r="Q218" s="61"/>
      <c r="R218" s="61"/>
      <c r="S218" s="61"/>
      <c r="T218" s="61"/>
      <c r="U218" s="61"/>
      <c r="V218" s="52"/>
    </row>
    <row r="219" spans="1:22" s="141" customFormat="1" ht="16.5" customHeight="1" hidden="1">
      <c r="A219" s="650"/>
      <c r="B219" s="9"/>
      <c r="C219" s="9"/>
      <c r="D219" s="9"/>
      <c r="E219" s="9"/>
      <c r="F219" s="9"/>
      <c r="G219" s="9"/>
      <c r="H219" s="9"/>
      <c r="I219" s="9"/>
      <c r="J219" s="9"/>
      <c r="K219" s="9"/>
      <c r="L219" s="61"/>
      <c r="M219" s="61"/>
      <c r="N219" s="61"/>
      <c r="O219" s="61"/>
      <c r="P219" s="61"/>
      <c r="Q219" s="61"/>
      <c r="R219" s="61"/>
      <c r="S219" s="61"/>
      <c r="T219" s="61"/>
      <c r="U219" s="61"/>
      <c r="V219" s="52"/>
    </row>
    <row r="220" spans="1:22" s="141" customFormat="1" ht="16.5" customHeight="1" hidden="1">
      <c r="A220" s="650"/>
      <c r="B220" s="9"/>
      <c r="C220" s="9"/>
      <c r="D220" s="9"/>
      <c r="E220" s="9"/>
      <c r="F220" s="9"/>
      <c r="G220" s="9"/>
      <c r="H220" s="9"/>
      <c r="I220" s="9"/>
      <c r="J220" s="9"/>
      <c r="K220" s="9"/>
      <c r="L220" s="61"/>
      <c r="M220" s="61"/>
      <c r="N220" s="61"/>
      <c r="O220" s="61"/>
      <c r="P220" s="61"/>
      <c r="Q220" s="61"/>
      <c r="R220" s="61"/>
      <c r="S220" s="61"/>
      <c r="T220" s="61"/>
      <c r="U220" s="61"/>
      <c r="V220" s="52"/>
    </row>
    <row r="221" spans="1:22" s="141" customFormat="1" ht="24.75" customHeight="1" hidden="1">
      <c r="A221" s="650"/>
      <c r="B221" s="9"/>
      <c r="C221" s="9"/>
      <c r="D221" s="9"/>
      <c r="E221" s="9"/>
      <c r="F221" s="9"/>
      <c r="G221" s="9"/>
      <c r="H221" s="9"/>
      <c r="I221" s="9"/>
      <c r="J221" s="9"/>
      <c r="K221" s="9"/>
      <c r="L221" s="61"/>
      <c r="M221" s="61"/>
      <c r="N221" s="61"/>
      <c r="O221" s="61"/>
      <c r="P221" s="61"/>
      <c r="Q221" s="61"/>
      <c r="R221" s="61"/>
      <c r="S221" s="61"/>
      <c r="T221" s="61"/>
      <c r="U221" s="61"/>
      <c r="V221" s="52"/>
    </row>
    <row r="222" spans="1:22" s="141" customFormat="1" ht="16.5" customHeight="1">
      <c r="A222" s="1510" t="s">
        <v>1428</v>
      </c>
      <c r="B222" s="1510"/>
      <c r="C222" s="1510"/>
      <c r="D222" s="1510"/>
      <c r="E222" s="1510"/>
      <c r="F222" s="1510"/>
      <c r="G222" s="1510"/>
      <c r="H222" s="1510"/>
      <c r="I222" s="1510"/>
      <c r="J222" s="1510"/>
      <c r="K222" s="1510"/>
      <c r="L222" s="1510"/>
      <c r="M222" s="1510"/>
      <c r="N222" s="1510"/>
      <c r="O222" s="1510"/>
      <c r="P222" s="1510"/>
      <c r="Q222" s="1510"/>
      <c r="R222" s="1510"/>
      <c r="S222" s="1510"/>
      <c r="T222" s="1510"/>
      <c r="U222" s="683"/>
      <c r="V222" s="52"/>
    </row>
    <row r="223" spans="1:22" s="141" customFormat="1" ht="16.5" customHeight="1">
      <c r="A223" s="1510" t="s">
        <v>1423</v>
      </c>
      <c r="B223" s="1510"/>
      <c r="C223" s="1510"/>
      <c r="D223" s="1510"/>
      <c r="E223" s="1510"/>
      <c r="F223" s="1510"/>
      <c r="G223" s="1510"/>
      <c r="H223" s="1510"/>
      <c r="I223" s="1510"/>
      <c r="J223" s="1510"/>
      <c r="K223" s="1510"/>
      <c r="L223" s="1510"/>
      <c r="M223" s="1510"/>
      <c r="N223" s="1510"/>
      <c r="O223" s="1510"/>
      <c r="P223" s="1510"/>
      <c r="Q223" s="1510"/>
      <c r="R223" s="1510"/>
      <c r="S223" s="1510"/>
      <c r="T223" s="1510"/>
      <c r="U223" s="683"/>
      <c r="V223" s="52"/>
    </row>
    <row r="224" spans="1:22" s="141" customFormat="1" ht="16.5" customHeight="1">
      <c r="A224" s="667"/>
      <c r="B224" s="682"/>
      <c r="C224" s="682"/>
      <c r="D224" s="682"/>
      <c r="E224" s="682"/>
      <c r="F224" s="682"/>
      <c r="G224" s="682"/>
      <c r="H224" s="682"/>
      <c r="I224" s="682"/>
      <c r="J224" s="682"/>
      <c r="K224" s="682"/>
      <c r="L224" s="683"/>
      <c r="M224" s="683"/>
      <c r="N224" s="683"/>
      <c r="O224" s="683"/>
      <c r="P224" s="683"/>
      <c r="Q224" s="683"/>
      <c r="R224" s="683"/>
      <c r="S224" s="683"/>
      <c r="T224" s="683"/>
      <c r="U224" s="683"/>
      <c r="V224" s="52"/>
    </row>
    <row r="225" spans="1:22" s="141" customFormat="1" ht="16.5" customHeight="1">
      <c r="A225" s="667"/>
      <c r="B225" s="687" t="s">
        <v>395</v>
      </c>
      <c r="C225" s="1709" t="s">
        <v>1500</v>
      </c>
      <c r="D225" s="1709"/>
      <c r="E225" s="1709"/>
      <c r="F225" s="1709"/>
      <c r="G225" s="1709"/>
      <c r="H225" s="1709"/>
      <c r="I225" s="1709"/>
      <c r="J225" s="1709"/>
      <c r="K225" s="1709"/>
      <c r="L225" s="1709"/>
      <c r="M225" s="1709"/>
      <c r="N225" s="1709"/>
      <c r="O225" s="1709"/>
      <c r="P225" s="1709"/>
      <c r="Q225" s="1709"/>
      <c r="R225" s="1709"/>
      <c r="S225" s="1709"/>
      <c r="T225" s="1709"/>
      <c r="U225" s="1709"/>
      <c r="V225" s="52"/>
    </row>
    <row r="226" spans="1:39" s="141" customFormat="1" ht="47.25" customHeight="1">
      <c r="A226" s="650"/>
      <c r="B226" s="631"/>
      <c r="C226" s="1056" t="str">
        <f>"Laporan Realisasi Anggaran Tahun Anggaran "&amp;'2.ISIAN DATA SKPD'!D11&amp;" menggambarkan perbandingan antara anggaran dengan realisasinya dalam satu periode pelaporan."</f>
        <v>Laporan Realisasi Anggaran Tahun Anggaran 2017 menggambarkan perbandingan antara anggaran dengan realisasinya dalam satu periode pelaporan.</v>
      </c>
      <c r="D226" s="1056"/>
      <c r="E226" s="1056"/>
      <c r="F226" s="1056"/>
      <c r="G226" s="1056"/>
      <c r="H226" s="1056"/>
      <c r="I226" s="1056"/>
      <c r="J226" s="1056"/>
      <c r="K226" s="1056"/>
      <c r="L226" s="1056"/>
      <c r="M226" s="1056"/>
      <c r="N226" s="1056"/>
      <c r="O226" s="1056"/>
      <c r="P226" s="1056"/>
      <c r="Q226" s="1056"/>
      <c r="R226" s="1056"/>
      <c r="S226" s="1056"/>
      <c r="T226" s="1056"/>
      <c r="U226" s="1056"/>
      <c r="V226" s="1141"/>
      <c r="W226" s="1141"/>
      <c r="X226" s="1141"/>
      <c r="Y226" s="1141"/>
      <c r="Z226" s="1141"/>
      <c r="AA226" s="1141"/>
      <c r="AB226" s="1141"/>
      <c r="AC226" s="1141"/>
      <c r="AD226" s="1141"/>
      <c r="AE226" s="1141"/>
      <c r="AF226" s="1141"/>
      <c r="AG226" s="1141"/>
      <c r="AH226" s="1141"/>
      <c r="AI226" s="1141"/>
      <c r="AJ226" s="1141"/>
      <c r="AK226" s="1141"/>
      <c r="AL226" s="1141"/>
      <c r="AM226" s="1141"/>
    </row>
    <row r="227" spans="1:22" s="141" customFormat="1" ht="27.75" customHeight="1">
      <c r="A227" s="1516"/>
      <c r="B227" s="688" t="s">
        <v>1</v>
      </c>
      <c r="C227" s="653" t="s">
        <v>1504</v>
      </c>
      <c r="D227" s="689"/>
      <c r="E227" s="690"/>
      <c r="F227" s="690"/>
      <c r="G227" s="690"/>
      <c r="H227" s="52"/>
      <c r="I227" s="52"/>
      <c r="J227" s="52"/>
      <c r="K227" s="52"/>
      <c r="L227" s="38"/>
      <c r="M227" s="38"/>
      <c r="N227" s="38"/>
      <c r="O227" s="38"/>
      <c r="P227" s="38"/>
      <c r="Q227" s="38"/>
      <c r="R227" s="38"/>
      <c r="S227" s="38"/>
      <c r="T227" s="655"/>
      <c r="U227" s="655"/>
      <c r="V227" s="52"/>
    </row>
    <row r="228" spans="1:39" s="141" customFormat="1" ht="66.75" customHeight="1">
      <c r="A228" s="1516"/>
      <c r="C228" s="1056" t="str">
        <f>"Realisasi Pendapatan untuk periode yang berakhir pada "&amp;'2.ISIAN DATA SKPD'!D8&amp;" adalah sebesar Rp. 0 atau mencapai  0 % dari estimasi pendapatan yang ditetapkan sebesar Rp. 0 kurang dari anggaran sebesar Rp. 0."</f>
        <v>Realisasi Pendapatan untuk periode yang berakhir pada 31 Desember 2017 adalah sebesar Rp. 0 atau mencapai  0 % dari estimasi pendapatan yang ditetapkan sebesar Rp. 0 kurang dari anggaran sebesar Rp. 0.</v>
      </c>
      <c r="D228" s="1056"/>
      <c r="E228" s="1056"/>
      <c r="F228" s="1056"/>
      <c r="G228" s="1056"/>
      <c r="H228" s="1056"/>
      <c r="I228" s="1056"/>
      <c r="J228" s="1056"/>
      <c r="K228" s="1056"/>
      <c r="L228" s="1056"/>
      <c r="M228" s="1056"/>
      <c r="N228" s="1056"/>
      <c r="O228" s="1056"/>
      <c r="P228" s="1056"/>
      <c r="Q228" s="1056"/>
      <c r="R228" s="1056"/>
      <c r="S228" s="1056"/>
      <c r="T228" s="1056"/>
      <c r="U228" s="1056"/>
      <c r="V228" s="1133"/>
      <c r="W228" s="1133"/>
      <c r="X228" s="1133"/>
      <c r="Y228" s="1133"/>
      <c r="Z228" s="1133"/>
      <c r="AA228" s="1133"/>
      <c r="AB228" s="1133"/>
      <c r="AC228" s="1133"/>
      <c r="AD228" s="1133"/>
      <c r="AE228" s="1133"/>
      <c r="AF228" s="1133"/>
      <c r="AG228" s="1133"/>
      <c r="AH228" s="1133"/>
      <c r="AI228" s="1133"/>
      <c r="AJ228" s="1133"/>
      <c r="AK228" s="1133"/>
      <c r="AL228" s="1133"/>
      <c r="AM228" s="1133"/>
    </row>
    <row r="229" spans="1:39" s="141" customFormat="1" ht="47.25" customHeight="1">
      <c r="A229" s="691"/>
      <c r="C229" s="1056" t="str">
        <f>"Pendapatan "&amp;'2.ISIAN DATA SKPD'!D2&amp;" berasal dari Pendapatan Asli Daerah, Pendapatan Transfer dan Lain-lain Pendapatan Yang Sah. Rincian estimasi pendapatan dan realisasinya adalah sebagai berikut: "</f>
        <v>Pendapatan Kecamatan Kaliwiro berasal dari Pendapatan Asli Daerah, Pendapatan Transfer dan Lain-lain Pendapatan Yang Sah. Rincian estimasi pendapatan dan realisasinya adalah sebagai berikut: </v>
      </c>
      <c r="D229" s="1056"/>
      <c r="E229" s="1056"/>
      <c r="F229" s="1056"/>
      <c r="G229" s="1056"/>
      <c r="H229" s="1056"/>
      <c r="I229" s="1056"/>
      <c r="J229" s="1056"/>
      <c r="K229" s="1056"/>
      <c r="L229" s="1056"/>
      <c r="M229" s="1056"/>
      <c r="N229" s="1056"/>
      <c r="O229" s="1056"/>
      <c r="P229" s="1056"/>
      <c r="Q229" s="1056"/>
      <c r="R229" s="1056"/>
      <c r="S229" s="1056"/>
      <c r="T229" s="1056"/>
      <c r="U229" s="1056"/>
      <c r="V229" s="1133"/>
      <c r="W229" s="1133"/>
      <c r="X229" s="1133"/>
      <c r="Y229" s="1133"/>
      <c r="Z229" s="1133"/>
      <c r="AA229" s="1133"/>
      <c r="AB229" s="1133"/>
      <c r="AC229" s="1133"/>
      <c r="AD229" s="1133"/>
      <c r="AE229" s="1133"/>
      <c r="AF229" s="1133"/>
      <c r="AG229" s="1133"/>
      <c r="AH229" s="1133"/>
      <c r="AI229" s="1133"/>
      <c r="AJ229" s="1133"/>
      <c r="AK229" s="1133"/>
      <c r="AL229" s="1133"/>
      <c r="AM229" s="1133"/>
    </row>
    <row r="230" spans="1:22" s="141" customFormat="1" ht="19.5" customHeight="1">
      <c r="A230" s="650"/>
      <c r="B230" s="52"/>
      <c r="C230" s="52"/>
      <c r="D230" s="692"/>
      <c r="E230" s="37"/>
      <c r="F230" s="37"/>
      <c r="G230" s="37"/>
      <c r="H230" s="37"/>
      <c r="I230" s="37"/>
      <c r="J230" s="37"/>
      <c r="K230" s="37"/>
      <c r="L230" s="37"/>
      <c r="M230" s="37"/>
      <c r="N230" s="37"/>
      <c r="O230" s="37"/>
      <c r="P230" s="37"/>
      <c r="Q230" s="37"/>
      <c r="R230" s="37"/>
      <c r="S230" s="37"/>
      <c r="T230" s="654"/>
      <c r="U230" s="654"/>
      <c r="V230" s="52"/>
    </row>
    <row r="231" spans="1:22" s="141" customFormat="1" ht="18" customHeight="1">
      <c r="A231" s="650"/>
      <c r="B231" s="1372" t="str">
        <f>"Rincian Estimasi dan Realisasi Pendapatan  Tahun "&amp;'2.ISIAN DATA SKPD'!D11&amp;""</f>
        <v>Rincian Estimasi dan Realisasi Pendapatan  Tahun 2017</v>
      </c>
      <c r="C231" s="1372"/>
      <c r="D231" s="1372"/>
      <c r="E231" s="1372"/>
      <c r="F231" s="1372"/>
      <c r="G231" s="1373"/>
      <c r="H231" s="1373"/>
      <c r="I231" s="1373"/>
      <c r="J231" s="1373"/>
      <c r="K231" s="1373"/>
      <c r="L231" s="1373"/>
      <c r="M231" s="1373"/>
      <c r="N231" s="1373"/>
      <c r="O231" s="1373"/>
      <c r="P231" s="1373"/>
      <c r="Q231" s="1373"/>
      <c r="R231" s="1373"/>
      <c r="S231" s="1373"/>
      <c r="T231" s="1373"/>
      <c r="U231" s="1373"/>
      <c r="V231" s="52"/>
    </row>
    <row r="232" spans="1:22" s="141" customFormat="1" ht="18.75" customHeight="1">
      <c r="A232" s="1212" t="s">
        <v>9</v>
      </c>
      <c r="B232" s="1511"/>
      <c r="C232" s="1512"/>
      <c r="D232" s="1267">
        <f>'2.ISIAN DATA SKPD'!D11</f>
        <v>2017</v>
      </c>
      <c r="E232" s="1268"/>
      <c r="F232" s="1268"/>
      <c r="G232" s="1268"/>
      <c r="H232" s="1268"/>
      <c r="I232" s="1268"/>
      <c r="J232" s="1268"/>
      <c r="K232" s="1268"/>
      <c r="L232" s="1268"/>
      <c r="M232" s="1268"/>
      <c r="N232" s="1269"/>
      <c r="O232" s="1245">
        <f>'2.ISIAN DATA SKPD'!D12</f>
        <v>2016</v>
      </c>
      <c r="P232" s="1246"/>
      <c r="Q232" s="1246"/>
      <c r="R232" s="1246"/>
      <c r="S232" s="1247"/>
      <c r="T232" s="1333" t="s">
        <v>195</v>
      </c>
      <c r="U232" s="1334"/>
      <c r="V232" s="52"/>
    </row>
    <row r="233" spans="1:32" s="141" customFormat="1" ht="21" customHeight="1">
      <c r="A233" s="1513"/>
      <c r="B233" s="1514"/>
      <c r="C233" s="1515"/>
      <c r="D233" s="1267" t="s">
        <v>80</v>
      </c>
      <c r="E233" s="1268"/>
      <c r="F233" s="1268"/>
      <c r="G233" s="1268"/>
      <c r="H233" s="1268"/>
      <c r="I233" s="1269"/>
      <c r="J233" s="1245" t="s">
        <v>81</v>
      </c>
      <c r="K233" s="1246"/>
      <c r="L233" s="1246"/>
      <c r="M233" s="1246"/>
      <c r="N233" s="1247"/>
      <c r="O233" s="1245" t="s">
        <v>81</v>
      </c>
      <c r="P233" s="1246"/>
      <c r="Q233" s="1246"/>
      <c r="R233" s="1246"/>
      <c r="S233" s="1247"/>
      <c r="T233" s="1335"/>
      <c r="U233" s="1336"/>
      <c r="V233" s="1041" t="s">
        <v>1692</v>
      </c>
      <c r="W233" s="1042"/>
      <c r="X233" s="1042"/>
      <c r="Y233" s="1061" t="s">
        <v>1674</v>
      </c>
      <c r="Z233" s="1062"/>
      <c r="AA233" s="1062"/>
      <c r="AB233" s="1062" t="s">
        <v>1673</v>
      </c>
      <c r="AC233" s="1061" t="s">
        <v>1675</v>
      </c>
      <c r="AD233" s="1062"/>
      <c r="AE233" s="1062"/>
      <c r="AF233" s="1062"/>
    </row>
    <row r="234" spans="1:32" s="141" customFormat="1" ht="30" customHeight="1">
      <c r="A234" s="1396" t="s">
        <v>248</v>
      </c>
      <c r="B234" s="1397"/>
      <c r="C234" s="1398"/>
      <c r="D234" s="1251">
        <f>SUM(D235:I238)</f>
        <v>0</v>
      </c>
      <c r="E234" s="1252"/>
      <c r="F234" s="1252"/>
      <c r="G234" s="1252"/>
      <c r="H234" s="1252"/>
      <c r="I234" s="1253"/>
      <c r="J234" s="1251">
        <f>SUM(J235:N238)</f>
        <v>0</v>
      </c>
      <c r="K234" s="1252"/>
      <c r="L234" s="1252"/>
      <c r="M234" s="1252"/>
      <c r="N234" s="1253"/>
      <c r="O234" s="1713">
        <f>SUM(O235:S238)</f>
        <v>0</v>
      </c>
      <c r="P234" s="1714"/>
      <c r="Q234" s="1714"/>
      <c r="R234" s="1714"/>
      <c r="S234" s="1715"/>
      <c r="T234" s="1270">
        <v>0</v>
      </c>
      <c r="U234" s="1271"/>
      <c r="V234" s="1041" t="e">
        <f>J234/D234*100</f>
        <v>#DIV/0!</v>
      </c>
      <c r="W234" s="1042"/>
      <c r="X234" s="1042"/>
      <c r="Y234" s="1045">
        <f aca="true" t="shared" si="4" ref="Y234:Y241">D234-J234</f>
        <v>0</v>
      </c>
      <c r="Z234" s="1046"/>
      <c r="AA234" s="1046"/>
      <c r="AB234" s="1046"/>
      <c r="AC234" s="1047">
        <f aca="true" t="shared" si="5" ref="AC234:AC241">J234-O234</f>
        <v>0</v>
      </c>
      <c r="AD234" s="1048"/>
      <c r="AE234" s="1048"/>
      <c r="AF234" s="1048"/>
    </row>
    <row r="235" spans="1:32" s="141" customFormat="1" ht="16.5" customHeight="1">
      <c r="A235" s="1273" t="s">
        <v>229</v>
      </c>
      <c r="B235" s="1274"/>
      <c r="C235" s="1275"/>
      <c r="D235" s="1369">
        <f>'3.LRA'!D20</f>
        <v>0</v>
      </c>
      <c r="E235" s="1370"/>
      <c r="F235" s="1370"/>
      <c r="G235" s="1370"/>
      <c r="H235" s="1370"/>
      <c r="I235" s="1371"/>
      <c r="J235" s="1369">
        <f>'3.LRA'!E20</f>
        <v>0</v>
      </c>
      <c r="K235" s="1370"/>
      <c r="L235" s="1370"/>
      <c r="M235" s="1370"/>
      <c r="N235" s="1371"/>
      <c r="O235" s="1710">
        <f>'3.LRA'!I20</f>
        <v>0</v>
      </c>
      <c r="P235" s="1711"/>
      <c r="Q235" s="1711"/>
      <c r="R235" s="1711"/>
      <c r="S235" s="1712"/>
      <c r="T235" s="1270">
        <v>0</v>
      </c>
      <c r="U235" s="1271"/>
      <c r="V235" s="1041" t="e">
        <f aca="true" t="shared" si="6" ref="V235:V247">J235/D235*100</f>
        <v>#DIV/0!</v>
      </c>
      <c r="W235" s="1042"/>
      <c r="X235" s="1042"/>
      <c r="Y235" s="1045">
        <f t="shared" si="4"/>
        <v>0</v>
      </c>
      <c r="Z235" s="1046"/>
      <c r="AA235" s="1046"/>
      <c r="AB235" s="1046"/>
      <c r="AC235" s="1047">
        <f t="shared" si="5"/>
        <v>0</v>
      </c>
      <c r="AD235" s="1048"/>
      <c r="AE235" s="1048"/>
      <c r="AF235" s="1048"/>
    </row>
    <row r="236" spans="1:32" s="141" customFormat="1" ht="16.5" customHeight="1">
      <c r="A236" s="1273" t="s">
        <v>230</v>
      </c>
      <c r="B236" s="1274"/>
      <c r="C236" s="1275"/>
      <c r="D236" s="1369">
        <f>'3.LRA'!D21</f>
        <v>0</v>
      </c>
      <c r="E236" s="1370"/>
      <c r="F236" s="1370"/>
      <c r="G236" s="1370"/>
      <c r="H236" s="1370"/>
      <c r="I236" s="1371"/>
      <c r="J236" s="1369">
        <f>'3.LRA'!E21</f>
        <v>0</v>
      </c>
      <c r="K236" s="1370"/>
      <c r="L236" s="1370"/>
      <c r="M236" s="1370"/>
      <c r="N236" s="1371"/>
      <c r="O236" s="1710">
        <f>'3.LRA'!I21</f>
        <v>0</v>
      </c>
      <c r="P236" s="1711"/>
      <c r="Q236" s="1711"/>
      <c r="R236" s="1711"/>
      <c r="S236" s="1712"/>
      <c r="T236" s="1270">
        <v>0</v>
      </c>
      <c r="U236" s="1271"/>
      <c r="V236" s="1041" t="e">
        <f t="shared" si="6"/>
        <v>#DIV/0!</v>
      </c>
      <c r="W236" s="1042"/>
      <c r="X236" s="1042"/>
      <c r="Y236" s="1045">
        <f t="shared" si="4"/>
        <v>0</v>
      </c>
      <c r="Z236" s="1046"/>
      <c r="AA236" s="1046"/>
      <c r="AB236" s="1046"/>
      <c r="AC236" s="1047">
        <f t="shared" si="5"/>
        <v>0</v>
      </c>
      <c r="AD236" s="1048"/>
      <c r="AE236" s="1048"/>
      <c r="AF236" s="1048"/>
    </row>
    <row r="237" spans="1:32" s="141" customFormat="1" ht="42.75" customHeight="1">
      <c r="A237" s="1273" t="s">
        <v>231</v>
      </c>
      <c r="B237" s="1274"/>
      <c r="C237" s="1275"/>
      <c r="D237" s="1369">
        <f>'3.LRA'!D22</f>
        <v>0</v>
      </c>
      <c r="E237" s="1370"/>
      <c r="F237" s="1370"/>
      <c r="G237" s="1370"/>
      <c r="H237" s="1370"/>
      <c r="I237" s="1371"/>
      <c r="J237" s="1369">
        <f>'3.LRA'!E22</f>
        <v>0</v>
      </c>
      <c r="K237" s="1370"/>
      <c r="L237" s="1370"/>
      <c r="M237" s="1370"/>
      <c r="N237" s="1371"/>
      <c r="O237" s="1710">
        <f>'3.LRA'!I22</f>
        <v>0</v>
      </c>
      <c r="P237" s="1711"/>
      <c r="Q237" s="1711"/>
      <c r="R237" s="1711"/>
      <c r="S237" s="1712"/>
      <c r="T237" s="1270">
        <v>0</v>
      </c>
      <c r="U237" s="1271"/>
      <c r="V237" s="1041" t="e">
        <f t="shared" si="6"/>
        <v>#DIV/0!</v>
      </c>
      <c r="W237" s="1042"/>
      <c r="X237" s="1042"/>
      <c r="Y237" s="1045">
        <f t="shared" si="4"/>
        <v>0</v>
      </c>
      <c r="Z237" s="1046"/>
      <c r="AA237" s="1046"/>
      <c r="AB237" s="1046"/>
      <c r="AC237" s="1047">
        <f t="shared" si="5"/>
        <v>0</v>
      </c>
      <c r="AD237" s="1048"/>
      <c r="AE237" s="1048"/>
      <c r="AF237" s="1048"/>
    </row>
    <row r="238" spans="1:32" s="141" customFormat="1" ht="15.75" customHeight="1">
      <c r="A238" s="1273" t="s">
        <v>1245</v>
      </c>
      <c r="B238" s="1274"/>
      <c r="C238" s="1275"/>
      <c r="D238" s="1369">
        <f>'3.LRA'!D23</f>
        <v>0</v>
      </c>
      <c r="E238" s="1370"/>
      <c r="F238" s="1370"/>
      <c r="G238" s="1370"/>
      <c r="H238" s="1370"/>
      <c r="I238" s="1371"/>
      <c r="J238" s="1369">
        <f>'3.LRA'!E23</f>
        <v>0</v>
      </c>
      <c r="K238" s="1370"/>
      <c r="L238" s="1370"/>
      <c r="M238" s="1370"/>
      <c r="N238" s="1371"/>
      <c r="O238" s="1710">
        <f>'3.LRA'!I23</f>
        <v>0</v>
      </c>
      <c r="P238" s="1711"/>
      <c r="Q238" s="1711"/>
      <c r="R238" s="1711"/>
      <c r="S238" s="1712"/>
      <c r="T238" s="1270">
        <v>0</v>
      </c>
      <c r="U238" s="1271"/>
      <c r="V238" s="1041" t="e">
        <f t="shared" si="6"/>
        <v>#DIV/0!</v>
      </c>
      <c r="W238" s="1042"/>
      <c r="X238" s="1042"/>
      <c r="Y238" s="1045">
        <f t="shared" si="4"/>
        <v>0</v>
      </c>
      <c r="Z238" s="1046"/>
      <c r="AA238" s="1046"/>
      <c r="AB238" s="1046"/>
      <c r="AC238" s="1047">
        <f t="shared" si="5"/>
        <v>0</v>
      </c>
      <c r="AD238" s="1048"/>
      <c r="AE238" s="1048"/>
      <c r="AF238" s="1048"/>
    </row>
    <row r="239" spans="1:32" s="141" customFormat="1" ht="19.5" customHeight="1">
      <c r="A239" s="1396" t="s">
        <v>228</v>
      </c>
      <c r="B239" s="1397"/>
      <c r="C239" s="1398"/>
      <c r="D239" s="1251">
        <f>SUM(D240:J241)</f>
        <v>0</v>
      </c>
      <c r="E239" s="1252"/>
      <c r="F239" s="1252"/>
      <c r="G239" s="1252"/>
      <c r="H239" s="1252"/>
      <c r="I239" s="1253"/>
      <c r="J239" s="1251">
        <f>SUM(J240:O241)</f>
        <v>0</v>
      </c>
      <c r="K239" s="1252"/>
      <c r="L239" s="1252"/>
      <c r="M239" s="1252"/>
      <c r="N239" s="1253"/>
      <c r="O239" s="1251">
        <f>SUM(O240:S242)</f>
        <v>0</v>
      </c>
      <c r="P239" s="1252"/>
      <c r="Q239" s="1252"/>
      <c r="R239" s="1252"/>
      <c r="S239" s="1253"/>
      <c r="T239" s="1270">
        <v>0</v>
      </c>
      <c r="U239" s="1271"/>
      <c r="V239" s="1041" t="e">
        <f t="shared" si="6"/>
        <v>#DIV/0!</v>
      </c>
      <c r="W239" s="1042"/>
      <c r="X239" s="1042"/>
      <c r="Y239" s="1045">
        <f t="shared" si="4"/>
        <v>0</v>
      </c>
      <c r="Z239" s="1046"/>
      <c r="AA239" s="1046"/>
      <c r="AB239" s="1046"/>
      <c r="AC239" s="1047">
        <f t="shared" si="5"/>
        <v>0</v>
      </c>
      <c r="AD239" s="1048"/>
      <c r="AE239" s="1048"/>
      <c r="AF239" s="1048"/>
    </row>
    <row r="240" spans="1:32" s="141" customFormat="1" ht="44.25" customHeight="1">
      <c r="A240" s="1273" t="str">
        <f>'3.LRA'!C26</f>
        <v>Transfer Pemerintah Pusat ( Dana Perimbangan)</v>
      </c>
      <c r="B240" s="1274"/>
      <c r="C240" s="1275"/>
      <c r="D240" s="1251">
        <f>'3.LRA'!D26</f>
        <v>0</v>
      </c>
      <c r="E240" s="1252"/>
      <c r="F240" s="1252"/>
      <c r="G240" s="1252"/>
      <c r="H240" s="1252"/>
      <c r="I240" s="1253"/>
      <c r="J240" s="1251">
        <f>'3.LRA'!E26</f>
        <v>0</v>
      </c>
      <c r="K240" s="1252"/>
      <c r="L240" s="1252"/>
      <c r="M240" s="1252"/>
      <c r="N240" s="1253"/>
      <c r="O240" s="1251">
        <f>'3.LRA'!I26</f>
        <v>0</v>
      </c>
      <c r="P240" s="1252"/>
      <c r="Q240" s="1252"/>
      <c r="R240" s="1252"/>
      <c r="S240" s="1253"/>
      <c r="T240" s="1270">
        <v>0</v>
      </c>
      <c r="U240" s="1271"/>
      <c r="V240" s="1041" t="e">
        <f t="shared" si="6"/>
        <v>#DIV/0!</v>
      </c>
      <c r="W240" s="1042"/>
      <c r="X240" s="1042"/>
      <c r="Y240" s="1045">
        <f t="shared" si="4"/>
        <v>0</v>
      </c>
      <c r="Z240" s="1046"/>
      <c r="AA240" s="1046"/>
      <c r="AB240" s="1046"/>
      <c r="AC240" s="1047">
        <f t="shared" si="5"/>
        <v>0</v>
      </c>
      <c r="AD240" s="1048"/>
      <c r="AE240" s="1048"/>
      <c r="AF240" s="1048"/>
    </row>
    <row r="241" spans="1:32" s="141" customFormat="1" ht="29.25" customHeight="1">
      <c r="A241" s="1273" t="str">
        <f>'3.LRA'!C27</f>
        <v>Transfer Pemerintah Pusat Lainnya</v>
      </c>
      <c r="B241" s="1274"/>
      <c r="C241" s="1275"/>
      <c r="D241" s="1251">
        <f>'3.LRA'!D27</f>
        <v>0</v>
      </c>
      <c r="E241" s="1252"/>
      <c r="F241" s="1252"/>
      <c r="G241" s="1252"/>
      <c r="H241" s="1252"/>
      <c r="I241" s="1253"/>
      <c r="J241" s="1251">
        <f>'3.LRA'!E27</f>
        <v>0</v>
      </c>
      <c r="K241" s="1252"/>
      <c r="L241" s="1252"/>
      <c r="M241" s="1252"/>
      <c r="N241" s="1253"/>
      <c r="O241" s="1251">
        <f>'3.LRA'!I27</f>
        <v>0</v>
      </c>
      <c r="P241" s="1252"/>
      <c r="Q241" s="1252"/>
      <c r="R241" s="1252"/>
      <c r="S241" s="1253"/>
      <c r="T241" s="1270">
        <v>0</v>
      </c>
      <c r="U241" s="1271"/>
      <c r="V241" s="1041" t="e">
        <f t="shared" si="6"/>
        <v>#DIV/0!</v>
      </c>
      <c r="W241" s="1042"/>
      <c r="X241" s="1042"/>
      <c r="Y241" s="1045">
        <f t="shared" si="4"/>
        <v>0</v>
      </c>
      <c r="Z241" s="1046"/>
      <c r="AA241" s="1046"/>
      <c r="AB241" s="1046"/>
      <c r="AC241" s="1047">
        <f t="shared" si="5"/>
        <v>0</v>
      </c>
      <c r="AD241" s="1048"/>
      <c r="AE241" s="1048"/>
      <c r="AF241" s="1048"/>
    </row>
    <row r="242" spans="1:32" s="141" customFormat="1" ht="27.75" customHeight="1">
      <c r="A242" s="1273" t="str">
        <f>'3.LRA'!C28</f>
        <v>Transfer Pemerintah Profinsi</v>
      </c>
      <c r="B242" s="1274"/>
      <c r="C242" s="1275"/>
      <c r="D242" s="1251">
        <f>'3.LRA'!D28</f>
        <v>0</v>
      </c>
      <c r="E242" s="1252"/>
      <c r="F242" s="1252"/>
      <c r="G242" s="1252"/>
      <c r="H242" s="1252"/>
      <c r="I242" s="1253"/>
      <c r="J242" s="1251">
        <f>'3.LRA'!E28</f>
        <v>0</v>
      </c>
      <c r="K242" s="1252"/>
      <c r="L242" s="1252"/>
      <c r="M242" s="1252"/>
      <c r="N242" s="1253"/>
      <c r="O242" s="1251">
        <f>'3.LRA'!I28</f>
        <v>0</v>
      </c>
      <c r="P242" s="1252"/>
      <c r="Q242" s="1252"/>
      <c r="R242" s="1252"/>
      <c r="S242" s="1253"/>
      <c r="T242" s="1270">
        <v>0</v>
      </c>
      <c r="U242" s="1271"/>
      <c r="V242" s="1041" t="e">
        <f t="shared" si="6"/>
        <v>#DIV/0!</v>
      </c>
      <c r="W242" s="1042"/>
      <c r="X242" s="1042"/>
      <c r="Y242" s="1045">
        <f aca="true" t="shared" si="7" ref="Y242:Y247">D242-J242</f>
        <v>0</v>
      </c>
      <c r="Z242" s="1046"/>
      <c r="AA242" s="1046"/>
      <c r="AB242" s="1046"/>
      <c r="AC242" s="1047">
        <f aca="true" t="shared" si="8" ref="AC242:AC247">J242-O242</f>
        <v>0</v>
      </c>
      <c r="AD242" s="1048"/>
      <c r="AE242" s="1048"/>
      <c r="AF242" s="1048"/>
    </row>
    <row r="243" spans="1:32" s="141" customFormat="1" ht="29.25" customHeight="1">
      <c r="A243" s="1716" t="s">
        <v>249</v>
      </c>
      <c r="B243" s="1717"/>
      <c r="C243" s="1718"/>
      <c r="D243" s="1251">
        <f>SUM(D244:J246)</f>
        <v>0</v>
      </c>
      <c r="E243" s="1252"/>
      <c r="F243" s="1252"/>
      <c r="G243" s="1252"/>
      <c r="H243" s="1252"/>
      <c r="I243" s="1253"/>
      <c r="J243" s="1251">
        <f>SUM(J244:O246)</f>
        <v>0</v>
      </c>
      <c r="K243" s="1252"/>
      <c r="L243" s="1252"/>
      <c r="M243" s="1252"/>
      <c r="N243" s="1253"/>
      <c r="O243" s="1251">
        <f>SUM(O244:S246)</f>
        <v>0</v>
      </c>
      <c r="P243" s="1252"/>
      <c r="Q243" s="1252"/>
      <c r="R243" s="1252"/>
      <c r="S243" s="1253"/>
      <c r="T243" s="1270">
        <v>0</v>
      </c>
      <c r="U243" s="1271"/>
      <c r="V243" s="1041" t="e">
        <f t="shared" si="6"/>
        <v>#DIV/0!</v>
      </c>
      <c r="W243" s="1042"/>
      <c r="X243" s="1042"/>
      <c r="Y243" s="1045">
        <f t="shared" si="7"/>
        <v>0</v>
      </c>
      <c r="Z243" s="1046"/>
      <c r="AA243" s="1046"/>
      <c r="AB243" s="1046"/>
      <c r="AC243" s="1047">
        <f t="shared" si="8"/>
        <v>0</v>
      </c>
      <c r="AD243" s="1048"/>
      <c r="AE243" s="1048"/>
      <c r="AF243" s="1048"/>
    </row>
    <row r="244" spans="1:32" s="141" customFormat="1" ht="18" customHeight="1">
      <c r="A244" s="1273" t="str">
        <f>'3.LRA'!C30</f>
        <v>Pendapatan Hibah</v>
      </c>
      <c r="B244" s="1274"/>
      <c r="C244" s="1275"/>
      <c r="D244" s="1251">
        <f>'3.LRA'!D30</f>
        <v>0</v>
      </c>
      <c r="E244" s="1252"/>
      <c r="F244" s="1252"/>
      <c r="G244" s="1252"/>
      <c r="H244" s="1252"/>
      <c r="I244" s="1253"/>
      <c r="J244" s="1251">
        <f>'3.LRA'!E30</f>
        <v>0</v>
      </c>
      <c r="K244" s="1252"/>
      <c r="L244" s="1252"/>
      <c r="M244" s="1252"/>
      <c r="N244" s="1253"/>
      <c r="O244" s="1251">
        <f>'3.LRA'!I30</f>
        <v>0</v>
      </c>
      <c r="P244" s="1252"/>
      <c r="Q244" s="1252"/>
      <c r="R244" s="1252"/>
      <c r="S244" s="1253"/>
      <c r="T244" s="1270">
        <v>0</v>
      </c>
      <c r="U244" s="1271"/>
      <c r="V244" s="1041" t="e">
        <f t="shared" si="6"/>
        <v>#DIV/0!</v>
      </c>
      <c r="W244" s="1042"/>
      <c r="X244" s="1042"/>
      <c r="Y244" s="1045">
        <f t="shared" si="7"/>
        <v>0</v>
      </c>
      <c r="Z244" s="1046"/>
      <c r="AA244" s="1046"/>
      <c r="AB244" s="1046"/>
      <c r="AC244" s="1047">
        <f t="shared" si="8"/>
        <v>0</v>
      </c>
      <c r="AD244" s="1048"/>
      <c r="AE244" s="1048"/>
      <c r="AF244" s="1048"/>
    </row>
    <row r="245" spans="1:32" s="141" customFormat="1" ht="29.25" customHeight="1">
      <c r="A245" s="1273" t="str">
        <f>'3.LRA'!C31</f>
        <v>Pendapatan Dana darurat</v>
      </c>
      <c r="B245" s="1274"/>
      <c r="C245" s="1275"/>
      <c r="D245" s="1251">
        <f>'3.LRA'!D31</f>
        <v>0</v>
      </c>
      <c r="E245" s="1252"/>
      <c r="F245" s="1252"/>
      <c r="G245" s="1252"/>
      <c r="H245" s="1252"/>
      <c r="I245" s="1253"/>
      <c r="J245" s="1251">
        <f>'3.LRA'!E31</f>
        <v>0</v>
      </c>
      <c r="K245" s="1252"/>
      <c r="L245" s="1252"/>
      <c r="M245" s="1252"/>
      <c r="N245" s="1253"/>
      <c r="O245" s="1251">
        <f>'3.LRA'!I31</f>
        <v>0</v>
      </c>
      <c r="P245" s="1252"/>
      <c r="Q245" s="1252"/>
      <c r="R245" s="1252"/>
      <c r="S245" s="1253"/>
      <c r="T245" s="1270">
        <v>0</v>
      </c>
      <c r="U245" s="1271"/>
      <c r="V245" s="1041" t="e">
        <f t="shared" si="6"/>
        <v>#DIV/0!</v>
      </c>
      <c r="W245" s="1042"/>
      <c r="X245" s="1042"/>
      <c r="Y245" s="1045">
        <f t="shared" si="7"/>
        <v>0</v>
      </c>
      <c r="Z245" s="1046"/>
      <c r="AA245" s="1046"/>
      <c r="AB245" s="1046"/>
      <c r="AC245" s="1047">
        <f t="shared" si="8"/>
        <v>0</v>
      </c>
      <c r="AD245" s="1048"/>
      <c r="AE245" s="1048"/>
      <c r="AF245" s="1048"/>
    </row>
    <row r="246" spans="1:32" s="141" customFormat="1" ht="21" customHeight="1">
      <c r="A246" s="1273" t="str">
        <f>'3.LRA'!C32</f>
        <v>Pendapatan Lainnya</v>
      </c>
      <c r="B246" s="1274"/>
      <c r="C246" s="1275"/>
      <c r="D246" s="1251">
        <f>'3.LRA'!D32</f>
        <v>0</v>
      </c>
      <c r="E246" s="1252"/>
      <c r="F246" s="1252"/>
      <c r="G246" s="1252"/>
      <c r="H246" s="1252"/>
      <c r="I246" s="1253"/>
      <c r="J246" s="1251">
        <f>'3.LRA'!E32</f>
        <v>0</v>
      </c>
      <c r="K246" s="1252"/>
      <c r="L246" s="1252"/>
      <c r="M246" s="1252"/>
      <c r="N246" s="1253"/>
      <c r="O246" s="1251">
        <f>'3.LRA'!I32</f>
        <v>0</v>
      </c>
      <c r="P246" s="1252"/>
      <c r="Q246" s="1252"/>
      <c r="R246" s="1252"/>
      <c r="S246" s="1253"/>
      <c r="T246" s="1270">
        <v>0</v>
      </c>
      <c r="U246" s="1271"/>
      <c r="V246" s="1041" t="e">
        <f t="shared" si="6"/>
        <v>#DIV/0!</v>
      </c>
      <c r="W246" s="1042"/>
      <c r="X246" s="1042"/>
      <c r="Y246" s="1045">
        <f t="shared" si="7"/>
        <v>0</v>
      </c>
      <c r="Z246" s="1046"/>
      <c r="AA246" s="1046"/>
      <c r="AB246" s="1046"/>
      <c r="AC246" s="1047">
        <f t="shared" si="8"/>
        <v>0</v>
      </c>
      <c r="AD246" s="1048"/>
      <c r="AE246" s="1048"/>
      <c r="AF246" s="1048"/>
    </row>
    <row r="247" spans="1:32" s="141" customFormat="1" ht="18.75" customHeight="1">
      <c r="A247" s="1290" t="s">
        <v>10</v>
      </c>
      <c r="B247" s="1291"/>
      <c r="C247" s="1292"/>
      <c r="D247" s="1287">
        <f>D243+D239+D234</f>
        <v>0</v>
      </c>
      <c r="E247" s="1288"/>
      <c r="F247" s="1288"/>
      <c r="G247" s="1288"/>
      <c r="H247" s="1288"/>
      <c r="I247" s="1289"/>
      <c r="J247" s="1287">
        <f>J243+J239+J234</f>
        <v>0</v>
      </c>
      <c r="K247" s="1288"/>
      <c r="L247" s="1288"/>
      <c r="M247" s="1288"/>
      <c r="N247" s="1289"/>
      <c r="O247" s="1287">
        <f>O243+O239+O234</f>
        <v>0</v>
      </c>
      <c r="P247" s="1288"/>
      <c r="Q247" s="1288"/>
      <c r="R247" s="1288"/>
      <c r="S247" s="1289"/>
      <c r="T247" s="1565">
        <v>0</v>
      </c>
      <c r="U247" s="1566"/>
      <c r="V247" s="1041" t="e">
        <f t="shared" si="6"/>
        <v>#DIV/0!</v>
      </c>
      <c r="W247" s="1042"/>
      <c r="X247" s="1042"/>
      <c r="Y247" s="1045">
        <f t="shared" si="7"/>
        <v>0</v>
      </c>
      <c r="Z247" s="1046"/>
      <c r="AA247" s="1046"/>
      <c r="AB247" s="1046"/>
      <c r="AC247" s="1047">
        <f t="shared" si="8"/>
        <v>0</v>
      </c>
      <c r="AD247" s="1048"/>
      <c r="AE247" s="1048"/>
      <c r="AF247" s="1048"/>
    </row>
    <row r="248" spans="1:22" s="141" customFormat="1" ht="18.75" customHeight="1">
      <c r="A248" s="650"/>
      <c r="B248" s="52"/>
      <c r="C248" s="52"/>
      <c r="D248" s="692"/>
      <c r="E248" s="37"/>
      <c r="F248" s="37"/>
      <c r="G248" s="37"/>
      <c r="H248" s="37"/>
      <c r="I248" s="37"/>
      <c r="J248" s="37"/>
      <c r="K248" s="37"/>
      <c r="L248" s="37"/>
      <c r="M248" s="37"/>
      <c r="N248" s="37"/>
      <c r="O248" s="37"/>
      <c r="P248" s="37"/>
      <c r="Q248" s="37"/>
      <c r="R248" s="37"/>
      <c r="S248" s="37"/>
      <c r="T248" s="654"/>
      <c r="U248" s="654"/>
      <c r="V248" s="52"/>
    </row>
    <row r="249" spans="1:22" s="141" customFormat="1" ht="35.25" customHeight="1">
      <c r="A249" s="650"/>
      <c r="C249" s="1056" t="str">
        <f>"Realisasi Pendapatan  TA "&amp;'2.ISIAN DATA SKPD'!D11&amp;" tidak mengalami kenaikan/penurunan sebesar 0 % dibandingkan TA "&amp;'2.ISIAN DATA SKPD'!D12&amp;" atau sebesar Rp. 0"</f>
        <v>Realisasi Pendapatan  TA 2017 tidak mengalami kenaikan/penurunan sebesar 0 % dibandingkan TA 2016 atau sebesar Rp. 0</v>
      </c>
      <c r="D249" s="1056"/>
      <c r="E249" s="1056"/>
      <c r="F249" s="1056"/>
      <c r="G249" s="1056"/>
      <c r="H249" s="1056"/>
      <c r="I249" s="1056"/>
      <c r="J249" s="1056"/>
      <c r="K249" s="1056"/>
      <c r="L249" s="1056"/>
      <c r="M249" s="1056"/>
      <c r="N249" s="1056"/>
      <c r="O249" s="1056"/>
      <c r="P249" s="1056"/>
      <c r="Q249" s="1056"/>
      <c r="R249" s="1056"/>
      <c r="S249" s="1056"/>
      <c r="T249" s="1056"/>
      <c r="U249" s="1056"/>
      <c r="V249" s="52"/>
    </row>
    <row r="250" spans="1:22" s="141" customFormat="1" ht="3.75" customHeight="1">
      <c r="A250" s="650"/>
      <c r="C250" s="1056"/>
      <c r="D250" s="1056"/>
      <c r="E250" s="1056"/>
      <c r="F250" s="1056"/>
      <c r="G250" s="1056"/>
      <c r="H250" s="1056"/>
      <c r="I250" s="1056"/>
      <c r="J250" s="1056"/>
      <c r="K250" s="1056"/>
      <c r="L250" s="1056"/>
      <c r="M250" s="1056"/>
      <c r="N250" s="1056"/>
      <c r="O250" s="1056"/>
      <c r="P250" s="1056"/>
      <c r="Q250" s="1056"/>
      <c r="R250" s="1056"/>
      <c r="S250" s="1056"/>
      <c r="T250" s="1056"/>
      <c r="U250" s="1056"/>
      <c r="V250" s="52"/>
    </row>
    <row r="251" spans="1:22" s="141" customFormat="1" ht="6.75" customHeight="1">
      <c r="A251" s="650"/>
      <c r="B251" s="37"/>
      <c r="C251" s="37"/>
      <c r="D251" s="37"/>
      <c r="E251" s="37"/>
      <c r="F251" s="37"/>
      <c r="G251" s="37"/>
      <c r="H251" s="37"/>
      <c r="I251" s="37"/>
      <c r="J251" s="37"/>
      <c r="K251" s="37"/>
      <c r="L251" s="37"/>
      <c r="M251" s="37"/>
      <c r="N251" s="37"/>
      <c r="O251" s="37"/>
      <c r="P251" s="37"/>
      <c r="Q251" s="37"/>
      <c r="R251" s="37"/>
      <c r="S251" s="37"/>
      <c r="T251" s="654"/>
      <c r="U251" s="654"/>
      <c r="V251" s="52"/>
    </row>
    <row r="252" spans="1:22" s="141" customFormat="1" ht="18" customHeight="1">
      <c r="A252" s="650"/>
      <c r="C252" s="693" t="s">
        <v>15</v>
      </c>
      <c r="D252" s="1524" t="s">
        <v>248</v>
      </c>
      <c r="E252" s="1524"/>
      <c r="F252" s="1524"/>
      <c r="G252" s="1524"/>
      <c r="H252" s="1524"/>
      <c r="I252" s="1524"/>
      <c r="J252" s="1524"/>
      <c r="K252" s="1524"/>
      <c r="L252" s="1524"/>
      <c r="M252" s="1524"/>
      <c r="N252" s="1524"/>
      <c r="O252" s="1524"/>
      <c r="P252" s="1524"/>
      <c r="Q252" s="1524"/>
      <c r="R252" s="1524"/>
      <c r="S252" s="1524"/>
      <c r="T252" s="1524"/>
      <c r="U252" s="1524"/>
      <c r="V252" s="52"/>
    </row>
    <row r="253" spans="1:38" s="141" customFormat="1" ht="46.5" customHeight="1">
      <c r="A253" s="650"/>
      <c r="B253" s="693"/>
      <c r="D253" s="1056" t="str">
        <f>"Realisasi Pendapatan Asli Daerah TA "&amp;'2.ISIAN DATA SKPD'!D11&amp;" adalah sebesar Rp. 0 atau mencapai  0 % dari estimasi pendapatan yang ditetapkan sebesar Rp. 0 kurang dari anggaran sebesar Rp. 0."</f>
        <v>Realisasi Pendapatan Asli Daerah TA 2017 adalah sebesar Rp. 0 atau mencapai  0 % dari estimasi pendapatan yang ditetapkan sebesar Rp. 0 kurang dari anggaran sebesar Rp. 0.</v>
      </c>
      <c r="E253" s="1056"/>
      <c r="F253" s="1056"/>
      <c r="G253" s="1056"/>
      <c r="H253" s="1056"/>
      <c r="I253" s="1056"/>
      <c r="J253" s="1056"/>
      <c r="K253" s="1056"/>
      <c r="L253" s="1056"/>
      <c r="M253" s="1056"/>
      <c r="N253" s="1056"/>
      <c r="O253" s="1056"/>
      <c r="P253" s="1056"/>
      <c r="Q253" s="1056"/>
      <c r="R253" s="1056"/>
      <c r="S253" s="1056"/>
      <c r="T253" s="1056"/>
      <c r="U253" s="1056"/>
      <c r="V253" s="1056"/>
      <c r="W253" s="1056"/>
      <c r="X253" s="1056"/>
      <c r="Y253" s="1056"/>
      <c r="Z253" s="1056"/>
      <c r="AA253" s="1056"/>
      <c r="AB253" s="1056"/>
      <c r="AC253" s="1056"/>
      <c r="AD253" s="1056"/>
      <c r="AE253" s="1056"/>
      <c r="AF253" s="1056"/>
      <c r="AG253" s="1056"/>
      <c r="AH253" s="1056"/>
      <c r="AI253" s="1056"/>
      <c r="AJ253" s="1056"/>
      <c r="AK253" s="1056"/>
      <c r="AL253" s="1056"/>
    </row>
    <row r="254" spans="1:22" s="141" customFormat="1" ht="33" customHeight="1">
      <c r="A254" s="650"/>
      <c r="B254" s="693"/>
      <c r="D254" s="1056" t="s">
        <v>782</v>
      </c>
      <c r="E254" s="1056"/>
      <c r="F254" s="1056"/>
      <c r="G254" s="1056"/>
      <c r="H254" s="1056"/>
      <c r="I254" s="1056"/>
      <c r="J254" s="1056"/>
      <c r="K254" s="1056"/>
      <c r="L254" s="1056"/>
      <c r="M254" s="1056"/>
      <c r="N254" s="1056"/>
      <c r="O254" s="1056"/>
      <c r="P254" s="1056"/>
      <c r="Q254" s="1056"/>
      <c r="R254" s="1056"/>
      <c r="S254" s="1056"/>
      <c r="T254" s="1056"/>
      <c r="U254" s="1056"/>
      <c r="V254" s="52"/>
    </row>
    <row r="255" spans="1:22" s="141" customFormat="1" ht="6" customHeight="1">
      <c r="A255" s="650"/>
      <c r="B255" s="693"/>
      <c r="D255" s="694"/>
      <c r="E255" s="694"/>
      <c r="F255" s="694"/>
      <c r="G255" s="694"/>
      <c r="H255" s="694"/>
      <c r="I255" s="694"/>
      <c r="J255" s="694"/>
      <c r="K255" s="694"/>
      <c r="L255" s="694"/>
      <c r="M255" s="694"/>
      <c r="N255" s="694"/>
      <c r="O255" s="694"/>
      <c r="P255" s="694"/>
      <c r="Q255" s="694"/>
      <c r="R255" s="694"/>
      <c r="S255" s="694"/>
      <c r="T255" s="694"/>
      <c r="U255" s="694"/>
      <c r="V255" s="52"/>
    </row>
    <row r="256" spans="1:22" s="141" customFormat="1" ht="15" customHeight="1">
      <c r="A256" s="1212" t="s">
        <v>9</v>
      </c>
      <c r="B256" s="1213"/>
      <c r="C256" s="1214"/>
      <c r="D256" s="1267">
        <f>D232</f>
        <v>2017</v>
      </c>
      <c r="E256" s="1268"/>
      <c r="F256" s="1268"/>
      <c r="G256" s="1268"/>
      <c r="H256" s="1268"/>
      <c r="I256" s="1268"/>
      <c r="J256" s="1268"/>
      <c r="K256" s="1268"/>
      <c r="L256" s="1268"/>
      <c r="M256" s="1268"/>
      <c r="N256" s="1269"/>
      <c r="O256" s="1245">
        <f>'2.ISIAN DATA SKPD'!D12</f>
        <v>2016</v>
      </c>
      <c r="P256" s="1246"/>
      <c r="Q256" s="1246"/>
      <c r="R256" s="1246"/>
      <c r="S256" s="1247"/>
      <c r="T256" s="1333" t="s">
        <v>195</v>
      </c>
      <c r="U256" s="1334"/>
      <c r="V256" s="52"/>
    </row>
    <row r="257" spans="1:22" s="141" customFormat="1" ht="15" customHeight="1">
      <c r="A257" s="1215"/>
      <c r="B257" s="1216"/>
      <c r="C257" s="1217"/>
      <c r="D257" s="1267" t="s">
        <v>80</v>
      </c>
      <c r="E257" s="1268"/>
      <c r="F257" s="1268"/>
      <c r="G257" s="1268"/>
      <c r="H257" s="1268"/>
      <c r="I257" s="1269"/>
      <c r="J257" s="1245" t="s">
        <v>81</v>
      </c>
      <c r="K257" s="1246"/>
      <c r="L257" s="1246"/>
      <c r="M257" s="1246"/>
      <c r="N257" s="1247"/>
      <c r="O257" s="1245" t="s">
        <v>81</v>
      </c>
      <c r="P257" s="1246"/>
      <c r="Q257" s="1246"/>
      <c r="R257" s="1246"/>
      <c r="S257" s="1247"/>
      <c r="T257" s="1335"/>
      <c r="U257" s="1336"/>
      <c r="V257" s="52"/>
    </row>
    <row r="258" spans="1:22" s="141" customFormat="1" ht="18.75" customHeight="1">
      <c r="A258" s="1293" t="s">
        <v>229</v>
      </c>
      <c r="B258" s="1294"/>
      <c r="C258" s="1295"/>
      <c r="D258" s="1251">
        <f>'3.LRA'!D20</f>
        <v>0</v>
      </c>
      <c r="E258" s="1252"/>
      <c r="F258" s="1252"/>
      <c r="G258" s="1252"/>
      <c r="H258" s="1252"/>
      <c r="I258" s="1253"/>
      <c r="J258" s="1281">
        <f>'3.LRA'!E20</f>
        <v>0</v>
      </c>
      <c r="K258" s="1282"/>
      <c r="L258" s="1282"/>
      <c r="M258" s="1282"/>
      <c r="N258" s="1283"/>
      <c r="O258" s="1330">
        <f>'3.LRA'!I20</f>
        <v>0</v>
      </c>
      <c r="P258" s="1331"/>
      <c r="Q258" s="1331"/>
      <c r="R258" s="1331"/>
      <c r="S258" s="1332"/>
      <c r="T258" s="1276">
        <v>0</v>
      </c>
      <c r="U258" s="1277"/>
      <c r="V258" s="52"/>
    </row>
    <row r="259" spans="1:22" s="141" customFormat="1" ht="18.75" customHeight="1">
      <c r="A259" s="1293" t="s">
        <v>230</v>
      </c>
      <c r="B259" s="1294"/>
      <c r="C259" s="1295"/>
      <c r="D259" s="1251">
        <f>'3.LRA'!D21</f>
        <v>0</v>
      </c>
      <c r="E259" s="1252"/>
      <c r="F259" s="1252"/>
      <c r="G259" s="1252"/>
      <c r="H259" s="1252"/>
      <c r="I259" s="1253"/>
      <c r="J259" s="1281">
        <f>'3.LRA'!E21</f>
        <v>0</v>
      </c>
      <c r="K259" s="1282"/>
      <c r="L259" s="1282"/>
      <c r="M259" s="1282"/>
      <c r="N259" s="1283"/>
      <c r="O259" s="1330">
        <f>'3.LRA'!I21</f>
        <v>0</v>
      </c>
      <c r="P259" s="1331"/>
      <c r="Q259" s="1331"/>
      <c r="R259" s="1331"/>
      <c r="S259" s="1332"/>
      <c r="T259" s="1276">
        <v>0</v>
      </c>
      <c r="U259" s="1277"/>
      <c r="V259" s="52"/>
    </row>
    <row r="260" spans="1:22" s="141" customFormat="1" ht="41.25" customHeight="1">
      <c r="A260" s="1273" t="s">
        <v>231</v>
      </c>
      <c r="B260" s="1274"/>
      <c r="C260" s="1275"/>
      <c r="D260" s="1251">
        <f>'3.LRA'!D22</f>
        <v>0</v>
      </c>
      <c r="E260" s="1252"/>
      <c r="F260" s="1252"/>
      <c r="G260" s="1252"/>
      <c r="H260" s="1252"/>
      <c r="I260" s="1253"/>
      <c r="J260" s="1281">
        <f>'3.LRA'!E22</f>
        <v>0</v>
      </c>
      <c r="K260" s="1282"/>
      <c r="L260" s="1282"/>
      <c r="M260" s="1282"/>
      <c r="N260" s="1283"/>
      <c r="O260" s="1330">
        <f>'3.LRA'!I22</f>
        <v>0</v>
      </c>
      <c r="P260" s="1331"/>
      <c r="Q260" s="1331"/>
      <c r="R260" s="1331"/>
      <c r="S260" s="1332"/>
      <c r="T260" s="1276">
        <v>0</v>
      </c>
      <c r="U260" s="1277"/>
      <c r="V260" s="52"/>
    </row>
    <row r="261" spans="1:22" s="141" customFormat="1" ht="18.75" customHeight="1">
      <c r="A261" s="1273" t="s">
        <v>1245</v>
      </c>
      <c r="B261" s="1274"/>
      <c r="C261" s="1275"/>
      <c r="D261" s="1251">
        <f>D262</f>
        <v>0</v>
      </c>
      <c r="E261" s="1252"/>
      <c r="F261" s="1252"/>
      <c r="G261" s="1252"/>
      <c r="H261" s="1252"/>
      <c r="I261" s="1253"/>
      <c r="J261" s="1562">
        <f>J262</f>
        <v>0</v>
      </c>
      <c r="K261" s="1563"/>
      <c r="L261" s="1563"/>
      <c r="M261" s="1563"/>
      <c r="N261" s="1564"/>
      <c r="O261" s="1330">
        <f>O262</f>
        <v>0</v>
      </c>
      <c r="P261" s="1331"/>
      <c r="Q261" s="1331"/>
      <c r="R261" s="1331"/>
      <c r="S261" s="1332"/>
      <c r="T261" s="1276">
        <v>0</v>
      </c>
      <c r="U261" s="1277"/>
      <c r="V261" s="52"/>
    </row>
    <row r="262" spans="1:22" s="141" customFormat="1" ht="18.75" customHeight="1">
      <c r="A262" s="1273" t="s">
        <v>1508</v>
      </c>
      <c r="B262" s="1274"/>
      <c r="C262" s="1275"/>
      <c r="D262" s="1251">
        <f>'3.LRA'!D24</f>
        <v>0</v>
      </c>
      <c r="E262" s="1252"/>
      <c r="F262" s="1252"/>
      <c r="G262" s="1252"/>
      <c r="H262" s="1252"/>
      <c r="I262" s="1253"/>
      <c r="J262" s="1281">
        <f>'3.LRA'!E24</f>
        <v>0</v>
      </c>
      <c r="K262" s="1282"/>
      <c r="L262" s="1282"/>
      <c r="M262" s="1282"/>
      <c r="N262" s="1283"/>
      <c r="O262" s="1330">
        <f>'3.LRA'!I24</f>
        <v>0</v>
      </c>
      <c r="P262" s="1331"/>
      <c r="Q262" s="1331"/>
      <c r="R262" s="1331"/>
      <c r="S262" s="1332"/>
      <c r="T262" s="1276">
        <v>0</v>
      </c>
      <c r="U262" s="1277"/>
      <c r="V262" s="52"/>
    </row>
    <row r="263" spans="1:22" s="141" customFormat="1" ht="30" customHeight="1">
      <c r="A263" s="1290" t="s">
        <v>10</v>
      </c>
      <c r="B263" s="1291"/>
      <c r="C263" s="1292"/>
      <c r="D263" s="1278">
        <f>SUM(D258:I261)</f>
        <v>0</v>
      </c>
      <c r="E263" s="1279"/>
      <c r="F263" s="1279"/>
      <c r="G263" s="1279"/>
      <c r="H263" s="1279"/>
      <c r="I263" s="1280"/>
      <c r="J263" s="1278">
        <f>SUM(J258:N261)</f>
        <v>0</v>
      </c>
      <c r="K263" s="1279"/>
      <c r="L263" s="1279"/>
      <c r="M263" s="1279"/>
      <c r="N263" s="1280"/>
      <c r="O263" s="1284">
        <f>SUM(O258:S261)</f>
        <v>0</v>
      </c>
      <c r="P263" s="1285"/>
      <c r="Q263" s="1285"/>
      <c r="R263" s="1285"/>
      <c r="S263" s="1286"/>
      <c r="T263" s="1276">
        <v>0</v>
      </c>
      <c r="U263" s="1277"/>
      <c r="V263" s="52"/>
    </row>
    <row r="264" spans="1:22" s="141" customFormat="1" ht="15.75" customHeight="1">
      <c r="A264" s="650"/>
      <c r="B264" s="693"/>
      <c r="D264" s="694"/>
      <c r="E264" s="694"/>
      <c r="F264" s="694"/>
      <c r="G264" s="694"/>
      <c r="H264" s="694"/>
      <c r="I264" s="694"/>
      <c r="J264" s="694"/>
      <c r="K264" s="694"/>
      <c r="L264" s="694"/>
      <c r="M264" s="694"/>
      <c r="N264" s="694"/>
      <c r="O264" s="694"/>
      <c r="P264" s="694"/>
      <c r="Q264" s="694"/>
      <c r="R264" s="694"/>
      <c r="S264" s="694"/>
      <c r="T264" s="694"/>
      <c r="U264" s="694"/>
      <c r="V264" s="52"/>
    </row>
    <row r="265" spans="1:38" s="141" customFormat="1" ht="50.25" customHeight="1">
      <c r="A265" s="650"/>
      <c r="D265" s="1056" t="str">
        <f>"Realisasi Pendapatan Asli Daerah TA "&amp;'2.ISIAN DATA SKPD'!D11&amp;" sebesar Rp. 0 tidak mengalami kenaikan/penurunan sebesar 0 % bila dibandingkan tahun anggaran "&amp;'2.ISIAN DATA SKPD'!D12&amp;"."</f>
        <v>Realisasi Pendapatan Asli Daerah TA 2017 sebesar Rp. 0 tidak mengalami kenaikan/penurunan sebesar 0 % bila dibandingkan tahun anggaran 2016.</v>
      </c>
      <c r="E265" s="1056"/>
      <c r="F265" s="1056"/>
      <c r="G265" s="1056"/>
      <c r="H265" s="1056"/>
      <c r="I265" s="1056"/>
      <c r="J265" s="1056"/>
      <c r="K265" s="1056"/>
      <c r="L265" s="1056"/>
      <c r="M265" s="1056"/>
      <c r="N265" s="1056"/>
      <c r="O265" s="1056"/>
      <c r="P265" s="1056"/>
      <c r="Q265" s="1056"/>
      <c r="R265" s="1056"/>
      <c r="S265" s="1056"/>
      <c r="T265" s="1056"/>
      <c r="U265" s="1056"/>
      <c r="V265" s="1059"/>
      <c r="W265" s="1059"/>
      <c r="X265" s="1059"/>
      <c r="Y265" s="1059"/>
      <c r="Z265" s="1059"/>
      <c r="AA265" s="1059"/>
      <c r="AB265" s="1059"/>
      <c r="AC265" s="1059"/>
      <c r="AD265" s="1059"/>
      <c r="AE265" s="1059"/>
      <c r="AF265" s="1059"/>
      <c r="AG265" s="1059"/>
      <c r="AH265" s="1059"/>
      <c r="AI265" s="1059"/>
      <c r="AJ265" s="1059"/>
      <c r="AK265" s="1059"/>
      <c r="AL265" s="1059"/>
    </row>
    <row r="266" spans="1:38" s="141" customFormat="1" ht="3" customHeight="1">
      <c r="A266" s="650"/>
      <c r="D266" s="694"/>
      <c r="E266" s="694"/>
      <c r="F266" s="694"/>
      <c r="G266" s="694"/>
      <c r="H266" s="694"/>
      <c r="I266" s="694"/>
      <c r="J266" s="694"/>
      <c r="K266" s="694"/>
      <c r="L266" s="694"/>
      <c r="M266" s="694"/>
      <c r="N266" s="694"/>
      <c r="O266" s="694"/>
      <c r="P266" s="694"/>
      <c r="Q266" s="694"/>
      <c r="R266" s="694"/>
      <c r="S266" s="694"/>
      <c r="T266" s="694"/>
      <c r="U266" s="694"/>
      <c r="V266" s="679"/>
      <c r="W266" s="679"/>
      <c r="X266" s="679"/>
      <c r="Y266" s="679"/>
      <c r="Z266" s="679"/>
      <c r="AA266" s="679"/>
      <c r="AB266" s="679"/>
      <c r="AC266" s="679"/>
      <c r="AD266" s="679"/>
      <c r="AE266" s="679"/>
      <c r="AF266" s="679"/>
      <c r="AG266" s="679"/>
      <c r="AH266" s="679"/>
      <c r="AI266" s="679"/>
      <c r="AJ266" s="679"/>
      <c r="AK266" s="679"/>
      <c r="AL266" s="679"/>
    </row>
    <row r="267" spans="1:22" s="141" customFormat="1" ht="18.75" customHeight="1">
      <c r="A267" s="650"/>
      <c r="D267" s="679" t="s">
        <v>7</v>
      </c>
      <c r="E267" s="1059" t="s">
        <v>229</v>
      </c>
      <c r="F267" s="1059"/>
      <c r="G267" s="1059"/>
      <c r="H267" s="1059"/>
      <c r="I267" s="1059"/>
      <c r="J267" s="1059"/>
      <c r="K267" s="1059"/>
      <c r="L267" s="1059"/>
      <c r="M267" s="1059"/>
      <c r="N267" s="1059"/>
      <c r="O267" s="1059"/>
      <c r="P267" s="1059"/>
      <c r="Q267" s="1059"/>
      <c r="R267" s="1059"/>
      <c r="S267" s="1059"/>
      <c r="T267" s="1059"/>
      <c r="U267" s="1059"/>
      <c r="V267" s="52"/>
    </row>
    <row r="268" spans="1:22" s="141" customFormat="1" ht="36.75" customHeight="1">
      <c r="A268" s="650"/>
      <c r="D268" s="679"/>
      <c r="E268" s="1056" t="str">
        <f>"Realisasi Pajak Daerah TA "&amp;'2.ISIAN DATA SKPD'!D11&amp;" adalah sebesar Rp. "&amp;FIXED(P281)&amp;", adapun rincian Pajak Daerah sebagai berikut :"</f>
        <v>Realisasi Pajak Daerah TA 2017 adalah sebesar Rp. 0.00, adapun rincian Pajak Daerah sebagai berikut :</v>
      </c>
      <c r="F268" s="1056"/>
      <c r="G268" s="1056"/>
      <c r="H268" s="1056"/>
      <c r="I268" s="1056"/>
      <c r="J268" s="1056"/>
      <c r="K268" s="1056"/>
      <c r="L268" s="1056"/>
      <c r="M268" s="1056"/>
      <c r="N268" s="1056"/>
      <c r="O268" s="1056"/>
      <c r="P268" s="1056"/>
      <c r="Q268" s="1056"/>
      <c r="R268" s="1056"/>
      <c r="S268" s="1056"/>
      <c r="T268" s="1056"/>
      <c r="U268" s="1056"/>
      <c r="V268" s="695"/>
    </row>
    <row r="269" spans="1:22" s="141" customFormat="1" ht="3.75" customHeight="1">
      <c r="A269" s="650"/>
      <c r="D269" s="679"/>
      <c r="E269" s="694"/>
      <c r="F269" s="694"/>
      <c r="G269" s="694"/>
      <c r="H269" s="694"/>
      <c r="I269" s="694"/>
      <c r="J269" s="694"/>
      <c r="K269" s="694"/>
      <c r="L269" s="694"/>
      <c r="M269" s="694"/>
      <c r="N269" s="694"/>
      <c r="O269" s="694"/>
      <c r="P269" s="694"/>
      <c r="Q269" s="694"/>
      <c r="R269" s="694"/>
      <c r="S269" s="694"/>
      <c r="T269" s="694"/>
      <c r="U269" s="694"/>
      <c r="V269" s="695"/>
    </row>
    <row r="270" spans="1:22" s="141" customFormat="1" ht="19.5" customHeight="1">
      <c r="A270" s="650"/>
      <c r="E270" s="1057" t="s">
        <v>126</v>
      </c>
      <c r="F270" s="1057"/>
      <c r="G270" s="1057" t="s">
        <v>229</v>
      </c>
      <c r="H270" s="1057"/>
      <c r="I270" s="1057"/>
      <c r="J270" s="1057"/>
      <c r="K270" s="1057"/>
      <c r="L270" s="1057"/>
      <c r="M270" s="1057"/>
      <c r="N270" s="1057"/>
      <c r="O270" s="1057"/>
      <c r="P270" s="1058" t="s">
        <v>81</v>
      </c>
      <c r="Q270" s="1058"/>
      <c r="R270" s="1058"/>
      <c r="S270" s="1058"/>
      <c r="T270" s="1058"/>
      <c r="U270" s="1058"/>
      <c r="V270" s="52"/>
    </row>
    <row r="271" spans="1:22" s="141" customFormat="1" ht="13.5" customHeight="1">
      <c r="A271" s="650"/>
      <c r="E271" s="1049">
        <v>1</v>
      </c>
      <c r="F271" s="1049"/>
      <c r="G271" s="1050" t="s">
        <v>803</v>
      </c>
      <c r="H271" s="1050"/>
      <c r="I271" s="1050"/>
      <c r="J271" s="1050"/>
      <c r="K271" s="1050"/>
      <c r="L271" s="1050"/>
      <c r="M271" s="1050"/>
      <c r="N271" s="1050"/>
      <c r="O271" s="1050"/>
      <c r="P271" s="1060">
        <v>0</v>
      </c>
      <c r="Q271" s="1060"/>
      <c r="R271" s="1060"/>
      <c r="S271" s="1060"/>
      <c r="T271" s="1060"/>
      <c r="U271" s="1060"/>
      <c r="V271" s="52"/>
    </row>
    <row r="272" spans="1:22" s="141" customFormat="1" ht="13.5" customHeight="1">
      <c r="A272" s="650"/>
      <c r="E272" s="1049">
        <v>2</v>
      </c>
      <c r="F272" s="1049"/>
      <c r="G272" s="1050" t="s">
        <v>804</v>
      </c>
      <c r="H272" s="1050"/>
      <c r="I272" s="1050"/>
      <c r="J272" s="1050"/>
      <c r="K272" s="1050"/>
      <c r="L272" s="1050"/>
      <c r="M272" s="1050"/>
      <c r="N272" s="1050"/>
      <c r="O272" s="1050"/>
      <c r="P272" s="1060">
        <v>0</v>
      </c>
      <c r="Q272" s="1060"/>
      <c r="R272" s="1060"/>
      <c r="S272" s="1060"/>
      <c r="T272" s="1060"/>
      <c r="U272" s="1060"/>
      <c r="V272" s="52"/>
    </row>
    <row r="273" spans="1:22" s="141" customFormat="1" ht="13.5" customHeight="1">
      <c r="A273" s="650"/>
      <c r="E273" s="1049">
        <v>3</v>
      </c>
      <c r="F273" s="1049"/>
      <c r="G273" s="1050" t="s">
        <v>1693</v>
      </c>
      <c r="H273" s="1050"/>
      <c r="I273" s="1050"/>
      <c r="J273" s="1050"/>
      <c r="K273" s="1050"/>
      <c r="L273" s="1050"/>
      <c r="M273" s="1050"/>
      <c r="N273" s="1050"/>
      <c r="O273" s="1050"/>
      <c r="P273" s="1060">
        <v>0</v>
      </c>
      <c r="Q273" s="1060"/>
      <c r="R273" s="1060"/>
      <c r="S273" s="1060"/>
      <c r="T273" s="1060"/>
      <c r="U273" s="1060"/>
      <c r="V273" s="52"/>
    </row>
    <row r="274" spans="1:22" s="141" customFormat="1" ht="13.5" customHeight="1">
      <c r="A274" s="650"/>
      <c r="E274" s="1049">
        <v>4</v>
      </c>
      <c r="F274" s="1049"/>
      <c r="G274" s="1050" t="s">
        <v>806</v>
      </c>
      <c r="H274" s="1050"/>
      <c r="I274" s="1050"/>
      <c r="J274" s="1050"/>
      <c r="K274" s="1050"/>
      <c r="L274" s="1050"/>
      <c r="M274" s="1050"/>
      <c r="N274" s="1050"/>
      <c r="O274" s="1050"/>
      <c r="P274" s="1060">
        <v>0</v>
      </c>
      <c r="Q274" s="1060"/>
      <c r="R274" s="1060"/>
      <c r="S274" s="1060"/>
      <c r="T274" s="1060"/>
      <c r="U274" s="1060"/>
      <c r="V274" s="52"/>
    </row>
    <row r="275" spans="1:22" s="141" customFormat="1" ht="13.5" customHeight="1">
      <c r="A275" s="650"/>
      <c r="E275" s="1049">
        <v>5</v>
      </c>
      <c r="F275" s="1049"/>
      <c r="G275" s="1050" t="s">
        <v>807</v>
      </c>
      <c r="H275" s="1050"/>
      <c r="I275" s="1050"/>
      <c r="J275" s="1050"/>
      <c r="K275" s="1050"/>
      <c r="L275" s="1050"/>
      <c r="M275" s="1050"/>
      <c r="N275" s="1050"/>
      <c r="O275" s="1050"/>
      <c r="P275" s="1060">
        <v>0</v>
      </c>
      <c r="Q275" s="1060"/>
      <c r="R275" s="1060"/>
      <c r="S275" s="1060"/>
      <c r="T275" s="1060"/>
      <c r="U275" s="1060"/>
      <c r="V275" s="52"/>
    </row>
    <row r="276" spans="1:22" s="141" customFormat="1" ht="13.5" customHeight="1">
      <c r="A276" s="650"/>
      <c r="E276" s="1049">
        <v>6</v>
      </c>
      <c r="F276" s="1049"/>
      <c r="G276" s="1050" t="s">
        <v>809</v>
      </c>
      <c r="H276" s="1050"/>
      <c r="I276" s="1050"/>
      <c r="J276" s="1050"/>
      <c r="K276" s="1050"/>
      <c r="L276" s="1050"/>
      <c r="M276" s="1050"/>
      <c r="N276" s="1050"/>
      <c r="O276" s="1050"/>
      <c r="P276" s="1060">
        <v>0</v>
      </c>
      <c r="Q276" s="1060"/>
      <c r="R276" s="1060"/>
      <c r="S276" s="1060"/>
      <c r="T276" s="1060"/>
      <c r="U276" s="1060"/>
      <c r="V276" s="52"/>
    </row>
    <row r="277" spans="1:22" s="141" customFormat="1" ht="13.5" customHeight="1">
      <c r="A277" s="650"/>
      <c r="E277" s="1049">
        <v>7</v>
      </c>
      <c r="F277" s="1049"/>
      <c r="G277" s="1050" t="s">
        <v>430</v>
      </c>
      <c r="H277" s="1050"/>
      <c r="I277" s="1050"/>
      <c r="J277" s="1050"/>
      <c r="K277" s="1050"/>
      <c r="L277" s="1050"/>
      <c r="M277" s="1050"/>
      <c r="N277" s="1050"/>
      <c r="O277" s="1050"/>
      <c r="P277" s="1060">
        <v>0</v>
      </c>
      <c r="Q277" s="1060"/>
      <c r="R277" s="1060"/>
      <c r="S277" s="1060"/>
      <c r="T277" s="1060"/>
      <c r="U277" s="1060"/>
      <c r="V277" s="52"/>
    </row>
    <row r="278" spans="1:22" s="141" customFormat="1" ht="29.25" customHeight="1">
      <c r="A278" s="650"/>
      <c r="E278" s="1049">
        <v>8</v>
      </c>
      <c r="F278" s="1049"/>
      <c r="G278" s="1050" t="s">
        <v>1694</v>
      </c>
      <c r="H278" s="1050"/>
      <c r="I278" s="1050"/>
      <c r="J278" s="1050"/>
      <c r="K278" s="1050"/>
      <c r="L278" s="1050"/>
      <c r="M278" s="1050"/>
      <c r="N278" s="1050"/>
      <c r="O278" s="1050"/>
      <c r="P278" s="1060">
        <v>0</v>
      </c>
      <c r="Q278" s="1060"/>
      <c r="R278" s="1060"/>
      <c r="S278" s="1060"/>
      <c r="T278" s="1060"/>
      <c r="U278" s="1060"/>
      <c r="V278" s="52"/>
    </row>
    <row r="279" spans="1:22" s="141" customFormat="1" ht="13.5" customHeight="1">
      <c r="A279" s="650"/>
      <c r="E279" s="1049">
        <v>9</v>
      </c>
      <c r="F279" s="1049"/>
      <c r="G279" s="1050" t="s">
        <v>1695</v>
      </c>
      <c r="H279" s="1050"/>
      <c r="I279" s="1050"/>
      <c r="J279" s="1050"/>
      <c r="K279" s="1050"/>
      <c r="L279" s="1050"/>
      <c r="M279" s="1050"/>
      <c r="N279" s="1050"/>
      <c r="O279" s="1050"/>
      <c r="P279" s="1060">
        <v>0</v>
      </c>
      <c r="Q279" s="1060"/>
      <c r="R279" s="1060"/>
      <c r="S279" s="1060"/>
      <c r="T279" s="1060"/>
      <c r="U279" s="1060"/>
      <c r="V279" s="52"/>
    </row>
    <row r="280" spans="1:22" s="141" customFormat="1" ht="33.75" customHeight="1">
      <c r="A280" s="650"/>
      <c r="E280" s="1049">
        <v>10</v>
      </c>
      <c r="F280" s="1049"/>
      <c r="G280" s="1050" t="s">
        <v>1696</v>
      </c>
      <c r="H280" s="1050"/>
      <c r="I280" s="1050"/>
      <c r="J280" s="1050"/>
      <c r="K280" s="1050"/>
      <c r="L280" s="1050"/>
      <c r="M280" s="1050"/>
      <c r="N280" s="1050"/>
      <c r="O280" s="1050"/>
      <c r="P280" s="1060">
        <v>0</v>
      </c>
      <c r="Q280" s="1060"/>
      <c r="R280" s="1060"/>
      <c r="S280" s="1060"/>
      <c r="T280" s="1060"/>
      <c r="U280" s="1060"/>
      <c r="V280" s="52"/>
    </row>
    <row r="281" spans="1:22" s="141" customFormat="1" ht="18" customHeight="1">
      <c r="A281" s="650"/>
      <c r="B281" s="37"/>
      <c r="C281" s="37"/>
      <c r="E281" s="1052" t="s">
        <v>1246</v>
      </c>
      <c r="F281" s="1053"/>
      <c r="G281" s="1053"/>
      <c r="H281" s="1053"/>
      <c r="I281" s="1053"/>
      <c r="J281" s="1053"/>
      <c r="K281" s="1053"/>
      <c r="L281" s="1053"/>
      <c r="M281" s="1053"/>
      <c r="N281" s="1053"/>
      <c r="O281" s="1054"/>
      <c r="P281" s="1055">
        <f>SUM(P271:U280)</f>
        <v>0</v>
      </c>
      <c r="Q281" s="1055"/>
      <c r="R281" s="1055"/>
      <c r="S281" s="1055"/>
      <c r="T281" s="1055"/>
      <c r="U281" s="1055"/>
      <c r="V281" s="52"/>
    </row>
    <row r="282" spans="1:22" s="141" customFormat="1" ht="133.5" customHeight="1">
      <c r="A282" s="650"/>
      <c r="B282" s="37"/>
      <c r="C282" s="37"/>
      <c r="D282" s="123"/>
      <c r="E282" s="124"/>
      <c r="F282" s="124"/>
      <c r="G282" s="124"/>
      <c r="H282" s="124"/>
      <c r="I282" s="124"/>
      <c r="J282" s="124"/>
      <c r="K282" s="124"/>
      <c r="L282" s="124"/>
      <c r="M282" s="696"/>
      <c r="N282" s="68"/>
      <c r="O282" s="68"/>
      <c r="P282" s="68"/>
      <c r="Q282" s="68"/>
      <c r="R282" s="37"/>
      <c r="S282" s="37"/>
      <c r="T282" s="654"/>
      <c r="U282" s="654"/>
      <c r="V282" s="52"/>
    </row>
    <row r="283" spans="1:22" s="141" customFormat="1" ht="20.25" customHeight="1">
      <c r="A283" s="650"/>
      <c r="B283" s="37"/>
      <c r="C283" s="37"/>
      <c r="D283" s="697" t="s">
        <v>8</v>
      </c>
      <c r="E283" s="1059" t="s">
        <v>230</v>
      </c>
      <c r="F283" s="1059"/>
      <c r="G283" s="1059"/>
      <c r="H283" s="1059"/>
      <c r="I283" s="1059"/>
      <c r="J283" s="1059"/>
      <c r="K283" s="1059"/>
      <c r="L283" s="1059"/>
      <c r="M283" s="1059"/>
      <c r="N283" s="1059"/>
      <c r="O283" s="1059"/>
      <c r="P283" s="1059"/>
      <c r="Q283" s="1059"/>
      <c r="R283" s="1059"/>
      <c r="S283" s="1059"/>
      <c r="T283" s="1059"/>
      <c r="U283" s="1059"/>
      <c r="V283" s="52"/>
    </row>
    <row r="284" spans="1:22" s="141" customFormat="1" ht="33" customHeight="1">
      <c r="A284" s="650"/>
      <c r="B284" s="37"/>
      <c r="C284" s="37"/>
      <c r="D284" s="679"/>
      <c r="E284" s="1056" t="str">
        <f>"Realisasi Retrubis Daerah  TA "&amp;'2.ISIAN DATA SKPD'!D11&amp;" adalah sebesar Rp. "&amp;FIXED(P293)&amp;" Adapun rincian Retribusi Daerah  sebagai berikut :"</f>
        <v>Realisasi Retrubis Daerah  TA 2017 adalah sebesar Rp. 0.00 Adapun rincian Retribusi Daerah  sebagai berikut :</v>
      </c>
      <c r="F284" s="1056"/>
      <c r="G284" s="1056"/>
      <c r="H284" s="1056"/>
      <c r="I284" s="1056"/>
      <c r="J284" s="1056"/>
      <c r="K284" s="1056"/>
      <c r="L284" s="1056"/>
      <c r="M284" s="1056"/>
      <c r="N284" s="1056"/>
      <c r="O284" s="1056"/>
      <c r="P284" s="1056"/>
      <c r="Q284" s="1056"/>
      <c r="R284" s="1056"/>
      <c r="S284" s="1056"/>
      <c r="T284" s="1056"/>
      <c r="U284" s="1056"/>
      <c r="V284" s="52"/>
    </row>
    <row r="285" spans="1:22" s="141" customFormat="1" ht="2.25" customHeight="1">
      <c r="A285" s="650"/>
      <c r="B285" s="37"/>
      <c r="C285" s="37"/>
      <c r="D285" s="679"/>
      <c r="E285" s="694"/>
      <c r="F285" s="694"/>
      <c r="G285" s="694"/>
      <c r="H285" s="694"/>
      <c r="I285" s="694"/>
      <c r="J285" s="694"/>
      <c r="K285" s="694"/>
      <c r="L285" s="694"/>
      <c r="M285" s="694"/>
      <c r="N285" s="694"/>
      <c r="O285" s="694"/>
      <c r="P285" s="694"/>
      <c r="Q285" s="694"/>
      <c r="R285" s="694"/>
      <c r="S285" s="694"/>
      <c r="T285" s="694"/>
      <c r="U285" s="694"/>
      <c r="V285" s="52"/>
    </row>
    <row r="286" spans="1:22" s="141" customFormat="1" ht="20.25" customHeight="1">
      <c r="A286" s="650"/>
      <c r="B286" s="37"/>
      <c r="C286" s="37"/>
      <c r="E286" s="1057" t="s">
        <v>126</v>
      </c>
      <c r="F286" s="1057"/>
      <c r="G286" s="1057" t="s">
        <v>230</v>
      </c>
      <c r="H286" s="1057"/>
      <c r="I286" s="1057"/>
      <c r="J286" s="1057"/>
      <c r="K286" s="1057"/>
      <c r="L286" s="1057"/>
      <c r="M286" s="1057"/>
      <c r="N286" s="1057"/>
      <c r="O286" s="1057"/>
      <c r="P286" s="1058" t="s">
        <v>81</v>
      </c>
      <c r="Q286" s="1058"/>
      <c r="R286" s="1058"/>
      <c r="S286" s="1058"/>
      <c r="T286" s="1058"/>
      <c r="U286" s="1058"/>
      <c r="V286" s="52"/>
    </row>
    <row r="287" spans="1:22" s="141" customFormat="1" ht="20.25" customHeight="1">
      <c r="A287" s="650"/>
      <c r="B287" s="37"/>
      <c r="C287" s="37"/>
      <c r="E287" s="1049">
        <v>1</v>
      </c>
      <c r="F287" s="1049"/>
      <c r="G287" s="1050" t="s">
        <v>814</v>
      </c>
      <c r="H287" s="1050"/>
      <c r="I287" s="1050"/>
      <c r="J287" s="1050"/>
      <c r="K287" s="1050"/>
      <c r="L287" s="1050"/>
      <c r="M287" s="1050"/>
      <c r="N287" s="1050"/>
      <c r="O287" s="1050"/>
      <c r="P287" s="1051">
        <v>0</v>
      </c>
      <c r="Q287" s="1051"/>
      <c r="R287" s="1051"/>
      <c r="S287" s="1051"/>
      <c r="T287" s="1051"/>
      <c r="U287" s="1051"/>
      <c r="V287" s="52"/>
    </row>
    <row r="288" spans="1:22" s="141" customFormat="1" ht="20.25" customHeight="1">
      <c r="A288" s="650"/>
      <c r="B288" s="37"/>
      <c r="C288" s="37"/>
      <c r="E288" s="1049">
        <v>2</v>
      </c>
      <c r="F288" s="1049"/>
      <c r="G288" s="1050" t="s">
        <v>817</v>
      </c>
      <c r="H288" s="1050"/>
      <c r="I288" s="1050"/>
      <c r="J288" s="1050"/>
      <c r="K288" s="1050"/>
      <c r="L288" s="1050"/>
      <c r="M288" s="1050"/>
      <c r="N288" s="1050"/>
      <c r="O288" s="1050"/>
      <c r="P288" s="1051">
        <v>0</v>
      </c>
      <c r="Q288" s="1051"/>
      <c r="R288" s="1051"/>
      <c r="S288" s="1051"/>
      <c r="T288" s="1051"/>
      <c r="U288" s="1051"/>
      <c r="V288" s="52"/>
    </row>
    <row r="289" spans="1:22" s="141" customFormat="1" ht="31.5" customHeight="1">
      <c r="A289" s="650"/>
      <c r="B289" s="37"/>
      <c r="C289" s="37"/>
      <c r="E289" s="1049">
        <v>3</v>
      </c>
      <c r="F289" s="1049"/>
      <c r="G289" s="1050" t="s">
        <v>822</v>
      </c>
      <c r="H289" s="1050"/>
      <c r="I289" s="1050"/>
      <c r="J289" s="1050"/>
      <c r="K289" s="1050"/>
      <c r="L289" s="1050"/>
      <c r="M289" s="1050"/>
      <c r="N289" s="1050"/>
      <c r="O289" s="1050"/>
      <c r="P289" s="1051">
        <v>0</v>
      </c>
      <c r="Q289" s="1051"/>
      <c r="R289" s="1051"/>
      <c r="S289" s="1051"/>
      <c r="T289" s="1051"/>
      <c r="U289" s="1051"/>
      <c r="V289" s="52"/>
    </row>
    <row r="290" spans="1:22" s="141" customFormat="1" ht="20.25" customHeight="1">
      <c r="A290" s="650"/>
      <c r="B290" s="37"/>
      <c r="C290" s="37"/>
      <c r="E290" s="1049">
        <v>4</v>
      </c>
      <c r="F290" s="1049"/>
      <c r="G290" s="1050" t="s">
        <v>823</v>
      </c>
      <c r="H290" s="1050"/>
      <c r="I290" s="1050"/>
      <c r="J290" s="1050"/>
      <c r="K290" s="1050"/>
      <c r="L290" s="1050"/>
      <c r="M290" s="1050"/>
      <c r="N290" s="1050"/>
      <c r="O290" s="1050"/>
      <c r="P290" s="1051">
        <v>0</v>
      </c>
      <c r="Q290" s="1051"/>
      <c r="R290" s="1051"/>
      <c r="S290" s="1051"/>
      <c r="T290" s="1051"/>
      <c r="U290" s="1051"/>
      <c r="V290" s="52"/>
    </row>
    <row r="291" spans="1:22" s="141" customFormat="1" ht="20.25" customHeight="1">
      <c r="A291" s="650"/>
      <c r="B291" s="37"/>
      <c r="C291" s="37"/>
      <c r="E291" s="1049">
        <v>5</v>
      </c>
      <c r="F291" s="1049"/>
      <c r="G291" s="1050" t="s">
        <v>824</v>
      </c>
      <c r="H291" s="1050"/>
      <c r="I291" s="1050"/>
      <c r="J291" s="1050"/>
      <c r="K291" s="1050"/>
      <c r="L291" s="1050"/>
      <c r="M291" s="1050"/>
      <c r="N291" s="1050"/>
      <c r="O291" s="1050"/>
      <c r="P291" s="1051">
        <v>0</v>
      </c>
      <c r="Q291" s="1051"/>
      <c r="R291" s="1051"/>
      <c r="S291" s="1051"/>
      <c r="T291" s="1051"/>
      <c r="U291" s="1051"/>
      <c r="V291" s="52"/>
    </row>
    <row r="292" spans="1:22" s="141" customFormat="1" ht="36" customHeight="1">
      <c r="A292" s="650"/>
      <c r="B292" s="37"/>
      <c r="C292" s="37"/>
      <c r="E292" s="1049">
        <v>6</v>
      </c>
      <c r="F292" s="1049"/>
      <c r="G292" s="1050" t="s">
        <v>826</v>
      </c>
      <c r="H292" s="1050"/>
      <c r="I292" s="1050"/>
      <c r="J292" s="1050"/>
      <c r="K292" s="1050"/>
      <c r="L292" s="1050"/>
      <c r="M292" s="1050"/>
      <c r="N292" s="1050"/>
      <c r="O292" s="1050"/>
      <c r="P292" s="1051">
        <v>0</v>
      </c>
      <c r="Q292" s="1051"/>
      <c r="R292" s="1051"/>
      <c r="S292" s="1051"/>
      <c r="T292" s="1051"/>
      <c r="U292" s="1051"/>
      <c r="V292" s="52"/>
    </row>
    <row r="293" spans="1:22" s="141" customFormat="1" ht="20.25" customHeight="1">
      <c r="A293" s="650"/>
      <c r="B293" s="37"/>
      <c r="C293" s="37"/>
      <c r="E293" s="1052" t="s">
        <v>1246</v>
      </c>
      <c r="F293" s="1053"/>
      <c r="G293" s="1053"/>
      <c r="H293" s="1053"/>
      <c r="I293" s="1053"/>
      <c r="J293" s="1053"/>
      <c r="K293" s="1053"/>
      <c r="L293" s="1053"/>
      <c r="M293" s="1053"/>
      <c r="N293" s="1053"/>
      <c r="O293" s="1054"/>
      <c r="P293" s="1055">
        <f>SUM(P287:U292)</f>
        <v>0</v>
      </c>
      <c r="Q293" s="1055"/>
      <c r="R293" s="1055"/>
      <c r="S293" s="1055"/>
      <c r="T293" s="1055"/>
      <c r="U293" s="1055"/>
      <c r="V293" s="52"/>
    </row>
    <row r="294" spans="1:22" s="141" customFormat="1" ht="7.5" customHeight="1">
      <c r="A294" s="650"/>
      <c r="B294" s="37"/>
      <c r="C294" s="37"/>
      <c r="D294" s="123"/>
      <c r="E294" s="124"/>
      <c r="F294" s="124"/>
      <c r="G294" s="124"/>
      <c r="H294" s="124"/>
      <c r="I294" s="124"/>
      <c r="J294" s="124"/>
      <c r="K294" s="124"/>
      <c r="L294" s="124"/>
      <c r="M294" s="696"/>
      <c r="N294" s="68"/>
      <c r="O294" s="68"/>
      <c r="P294" s="68"/>
      <c r="Q294" s="68"/>
      <c r="R294" s="37"/>
      <c r="S294" s="37"/>
      <c r="T294" s="654"/>
      <c r="U294" s="654"/>
      <c r="V294" s="52"/>
    </row>
    <row r="295" spans="1:22" s="141" customFormat="1" ht="20.25" customHeight="1">
      <c r="A295" s="650"/>
      <c r="B295" s="37"/>
      <c r="C295" s="37"/>
      <c r="D295" s="697" t="s">
        <v>781</v>
      </c>
      <c r="E295" s="1059" t="s">
        <v>231</v>
      </c>
      <c r="F295" s="1059"/>
      <c r="G295" s="1059"/>
      <c r="H295" s="1059"/>
      <c r="I295" s="1059"/>
      <c r="J295" s="1059"/>
      <c r="K295" s="1059"/>
      <c r="L295" s="1059"/>
      <c r="M295" s="1059"/>
      <c r="N295" s="1059"/>
      <c r="O295" s="1059"/>
      <c r="P295" s="1059"/>
      <c r="Q295" s="1059"/>
      <c r="R295" s="1059"/>
      <c r="S295" s="1059"/>
      <c r="T295" s="1059"/>
      <c r="U295" s="1059"/>
      <c r="V295" s="52"/>
    </row>
    <row r="296" spans="1:22" s="141" customFormat="1" ht="49.5" customHeight="1">
      <c r="A296" s="650"/>
      <c r="B296" s="37"/>
      <c r="C296" s="37"/>
      <c r="D296" s="679"/>
      <c r="E296" s="1056" t="str">
        <f>"Realisasi Pengelolaan Kekayaan Daerah Yang Dipisahkan Daerah  TA "&amp;'2.ISIAN DATA SKPD'!E54&amp;" adalah sebesar Rp. "&amp;FIXED(P301)&amp;" Adapun rincian Retribusi Daerah  sebagai berikut :"</f>
        <v>Realisasi Pengelolaan Kekayaan Daerah Yang Dipisahkan Daerah  TA  adalah sebesar Rp. 0.00 Adapun rincian Retribusi Daerah  sebagai berikut :</v>
      </c>
      <c r="F296" s="1056"/>
      <c r="G296" s="1056"/>
      <c r="H296" s="1056"/>
      <c r="I296" s="1056"/>
      <c r="J296" s="1056"/>
      <c r="K296" s="1056"/>
      <c r="L296" s="1056"/>
      <c r="M296" s="1056"/>
      <c r="N296" s="1056"/>
      <c r="O296" s="1056"/>
      <c r="P296" s="1056"/>
      <c r="Q296" s="1056"/>
      <c r="R296" s="1056"/>
      <c r="S296" s="1056"/>
      <c r="T296" s="1056"/>
      <c r="U296" s="1056"/>
      <c r="V296" s="52"/>
    </row>
    <row r="297" spans="1:22" s="141" customFormat="1" ht="6.75" customHeight="1">
      <c r="A297" s="650"/>
      <c r="B297" s="37"/>
      <c r="C297" s="37"/>
      <c r="D297" s="679"/>
      <c r="E297" s="694"/>
      <c r="F297" s="694"/>
      <c r="G297" s="694"/>
      <c r="H297" s="694"/>
      <c r="I297" s="694"/>
      <c r="J297" s="694"/>
      <c r="K297" s="694"/>
      <c r="L297" s="694"/>
      <c r="M297" s="694"/>
      <c r="N297" s="694"/>
      <c r="O297" s="694"/>
      <c r="P297" s="694"/>
      <c r="Q297" s="694"/>
      <c r="R297" s="694"/>
      <c r="S297" s="694"/>
      <c r="T297" s="694"/>
      <c r="U297" s="694"/>
      <c r="V297" s="52"/>
    </row>
    <row r="298" spans="1:22" s="141" customFormat="1" ht="33" customHeight="1">
      <c r="A298" s="650"/>
      <c r="B298" s="37"/>
      <c r="C298" s="37"/>
      <c r="E298" s="1057" t="s">
        <v>126</v>
      </c>
      <c r="F298" s="1057"/>
      <c r="G298" s="1057" t="s">
        <v>231</v>
      </c>
      <c r="H298" s="1057"/>
      <c r="I298" s="1057"/>
      <c r="J298" s="1057"/>
      <c r="K298" s="1057"/>
      <c r="L298" s="1057"/>
      <c r="M298" s="1057"/>
      <c r="N298" s="1057"/>
      <c r="O298" s="1057"/>
      <c r="P298" s="1058" t="s">
        <v>81</v>
      </c>
      <c r="Q298" s="1058"/>
      <c r="R298" s="1058"/>
      <c r="S298" s="1058"/>
      <c r="T298" s="1058"/>
      <c r="U298" s="1058"/>
      <c r="V298" s="52"/>
    </row>
    <row r="299" spans="1:22" s="141" customFormat="1" ht="33.75" customHeight="1">
      <c r="A299" s="650"/>
      <c r="B299" s="37"/>
      <c r="C299" s="37"/>
      <c r="E299" s="1049">
        <v>1</v>
      </c>
      <c r="F299" s="1049"/>
      <c r="G299" s="1050" t="s">
        <v>1697</v>
      </c>
      <c r="H299" s="1050"/>
      <c r="I299" s="1050"/>
      <c r="J299" s="1050"/>
      <c r="K299" s="1050"/>
      <c r="L299" s="1050"/>
      <c r="M299" s="1050"/>
      <c r="N299" s="1050"/>
      <c r="O299" s="1050"/>
      <c r="P299" s="1051">
        <v>0</v>
      </c>
      <c r="Q299" s="1051"/>
      <c r="R299" s="1051"/>
      <c r="S299" s="1051"/>
      <c r="T299" s="1051"/>
      <c r="U299" s="1051"/>
      <c r="V299" s="52"/>
    </row>
    <row r="300" spans="1:22" s="141" customFormat="1" ht="28.5" customHeight="1">
      <c r="A300" s="650"/>
      <c r="B300" s="37"/>
      <c r="C300" s="37"/>
      <c r="E300" s="1049">
        <v>2</v>
      </c>
      <c r="F300" s="1049"/>
      <c r="G300" s="1050" t="s">
        <v>1698</v>
      </c>
      <c r="H300" s="1050"/>
      <c r="I300" s="1050"/>
      <c r="J300" s="1050"/>
      <c r="K300" s="1050"/>
      <c r="L300" s="1050"/>
      <c r="M300" s="1050"/>
      <c r="N300" s="1050"/>
      <c r="O300" s="1050"/>
      <c r="P300" s="1051">
        <v>0</v>
      </c>
      <c r="Q300" s="1051"/>
      <c r="R300" s="1051"/>
      <c r="S300" s="1051"/>
      <c r="T300" s="1051"/>
      <c r="U300" s="1051"/>
      <c r="V300" s="52"/>
    </row>
    <row r="301" spans="1:22" s="141" customFormat="1" ht="20.25" customHeight="1">
      <c r="A301" s="650"/>
      <c r="B301" s="37"/>
      <c r="C301" s="37"/>
      <c r="E301" s="1052" t="s">
        <v>1246</v>
      </c>
      <c r="F301" s="1053"/>
      <c r="G301" s="1053"/>
      <c r="H301" s="1053"/>
      <c r="I301" s="1053"/>
      <c r="J301" s="1053"/>
      <c r="K301" s="1053"/>
      <c r="L301" s="1053"/>
      <c r="M301" s="1053"/>
      <c r="N301" s="1053"/>
      <c r="O301" s="1054"/>
      <c r="P301" s="1055">
        <f>SUM(P299:U300)</f>
        <v>0</v>
      </c>
      <c r="Q301" s="1055"/>
      <c r="R301" s="1055"/>
      <c r="S301" s="1055"/>
      <c r="T301" s="1055"/>
      <c r="U301" s="1055"/>
      <c r="V301" s="52"/>
    </row>
    <row r="302" spans="1:22" s="141" customFormat="1" ht="6" customHeight="1">
      <c r="A302" s="650"/>
      <c r="B302" s="37"/>
      <c r="C302" s="37"/>
      <c r="D302" s="123"/>
      <c r="E302" s="124"/>
      <c r="F302" s="124"/>
      <c r="G302" s="124"/>
      <c r="H302" s="124"/>
      <c r="I302" s="124"/>
      <c r="J302" s="124"/>
      <c r="K302" s="124"/>
      <c r="L302" s="124"/>
      <c r="M302" s="696"/>
      <c r="N302" s="68"/>
      <c r="O302" s="68"/>
      <c r="P302" s="68"/>
      <c r="Q302" s="68"/>
      <c r="R302" s="37"/>
      <c r="S302" s="37"/>
      <c r="T302" s="654"/>
      <c r="U302" s="654"/>
      <c r="V302" s="52"/>
    </row>
    <row r="303" spans="1:22" s="141" customFormat="1" ht="20.25" customHeight="1">
      <c r="A303" s="650"/>
      <c r="B303" s="37"/>
      <c r="C303" s="37"/>
      <c r="D303" s="697" t="s">
        <v>781</v>
      </c>
      <c r="E303" s="1059" t="s">
        <v>1699</v>
      </c>
      <c r="F303" s="1059"/>
      <c r="G303" s="1059"/>
      <c r="H303" s="1059"/>
      <c r="I303" s="1059"/>
      <c r="J303" s="1059"/>
      <c r="K303" s="1059"/>
      <c r="L303" s="1059"/>
      <c r="M303" s="1059"/>
      <c r="N303" s="1059"/>
      <c r="O303" s="1059"/>
      <c r="P303" s="1059"/>
      <c r="Q303" s="1059"/>
      <c r="R303" s="1059"/>
      <c r="S303" s="1059"/>
      <c r="T303" s="1059"/>
      <c r="U303" s="1059"/>
      <c r="V303" s="52"/>
    </row>
    <row r="304" spans="1:22" s="141" customFormat="1" ht="31.5" customHeight="1">
      <c r="A304" s="650"/>
      <c r="B304" s="37"/>
      <c r="C304" s="37"/>
      <c r="D304" s="679"/>
      <c r="E304" s="1056" t="str">
        <f>"Realisasi Lain-lain PAD Yang Sah  TA "&amp;'2.ISIAN DATA SKPD'!D11&amp;" adalah sebesar Rp. "&amp;FIXED(P313)&amp;" Adapun rincian Retribusi Daerah  sebagai berikut :"</f>
        <v>Realisasi Lain-lain PAD Yang Sah  TA 2017 adalah sebesar Rp. 0.00 Adapun rincian Retribusi Daerah  sebagai berikut :</v>
      </c>
      <c r="F304" s="1056"/>
      <c r="G304" s="1056"/>
      <c r="H304" s="1056"/>
      <c r="I304" s="1056"/>
      <c r="J304" s="1056"/>
      <c r="K304" s="1056"/>
      <c r="L304" s="1056"/>
      <c r="M304" s="1056"/>
      <c r="N304" s="1056"/>
      <c r="O304" s="1056"/>
      <c r="P304" s="1056"/>
      <c r="Q304" s="1056"/>
      <c r="R304" s="1056"/>
      <c r="S304" s="1056"/>
      <c r="T304" s="1056"/>
      <c r="U304" s="1056"/>
      <c r="V304" s="52"/>
    </row>
    <row r="305" spans="1:22" s="141" customFormat="1" ht="4.5" customHeight="1">
      <c r="A305" s="650"/>
      <c r="B305" s="37"/>
      <c r="C305" s="37"/>
      <c r="D305" s="679"/>
      <c r="E305" s="694"/>
      <c r="F305" s="694"/>
      <c r="G305" s="694"/>
      <c r="H305" s="694"/>
      <c r="I305" s="694"/>
      <c r="J305" s="694"/>
      <c r="K305" s="694"/>
      <c r="L305" s="694"/>
      <c r="M305" s="694"/>
      <c r="N305" s="694"/>
      <c r="O305" s="694"/>
      <c r="P305" s="694"/>
      <c r="Q305" s="694"/>
      <c r="R305" s="694"/>
      <c r="S305" s="694"/>
      <c r="T305" s="694"/>
      <c r="U305" s="694"/>
      <c r="V305" s="52"/>
    </row>
    <row r="306" spans="1:22" s="141" customFormat="1" ht="20.25" customHeight="1">
      <c r="A306" s="650"/>
      <c r="B306" s="37"/>
      <c r="C306" s="37"/>
      <c r="E306" s="1057" t="s">
        <v>126</v>
      </c>
      <c r="F306" s="1057"/>
      <c r="G306" s="1057" t="s">
        <v>1699</v>
      </c>
      <c r="H306" s="1057"/>
      <c r="I306" s="1057"/>
      <c r="J306" s="1057"/>
      <c r="K306" s="1057"/>
      <c r="L306" s="1057"/>
      <c r="M306" s="1057"/>
      <c r="N306" s="1057"/>
      <c r="O306" s="1057"/>
      <c r="P306" s="1058" t="s">
        <v>81</v>
      </c>
      <c r="Q306" s="1058"/>
      <c r="R306" s="1058"/>
      <c r="S306" s="1058"/>
      <c r="T306" s="1058"/>
      <c r="U306" s="1058"/>
      <c r="V306" s="52"/>
    </row>
    <row r="307" spans="1:22" s="141" customFormat="1" ht="30" customHeight="1">
      <c r="A307" s="650"/>
      <c r="B307" s="37"/>
      <c r="C307" s="37"/>
      <c r="E307" s="1049">
        <v>1</v>
      </c>
      <c r="F307" s="1049"/>
      <c r="G307" s="1050" t="s">
        <v>1700</v>
      </c>
      <c r="H307" s="1050"/>
      <c r="I307" s="1050"/>
      <c r="J307" s="1050"/>
      <c r="K307" s="1050"/>
      <c r="L307" s="1050"/>
      <c r="M307" s="1050"/>
      <c r="N307" s="1050"/>
      <c r="O307" s="1050"/>
      <c r="P307" s="1051">
        <v>0</v>
      </c>
      <c r="Q307" s="1051"/>
      <c r="R307" s="1051"/>
      <c r="S307" s="1051"/>
      <c r="T307" s="1051"/>
      <c r="U307" s="1051"/>
      <c r="V307" s="52"/>
    </row>
    <row r="308" spans="1:22" s="141" customFormat="1" ht="20.25" customHeight="1">
      <c r="A308" s="650"/>
      <c r="B308" s="37"/>
      <c r="C308" s="37"/>
      <c r="E308" s="1049">
        <v>2</v>
      </c>
      <c r="F308" s="1049"/>
      <c r="G308" s="1050" t="s">
        <v>852</v>
      </c>
      <c r="H308" s="1050"/>
      <c r="I308" s="1050"/>
      <c r="J308" s="1050"/>
      <c r="K308" s="1050"/>
      <c r="L308" s="1050"/>
      <c r="M308" s="1050"/>
      <c r="N308" s="1050"/>
      <c r="O308" s="1050"/>
      <c r="P308" s="1051">
        <v>0</v>
      </c>
      <c r="Q308" s="1051"/>
      <c r="R308" s="1051"/>
      <c r="S308" s="1051"/>
      <c r="T308" s="1051"/>
      <c r="U308" s="1051"/>
      <c r="V308" s="52"/>
    </row>
    <row r="309" spans="1:22" s="141" customFormat="1" ht="20.25" customHeight="1">
      <c r="A309" s="650"/>
      <c r="B309" s="37"/>
      <c r="C309" s="37"/>
      <c r="E309" s="1049">
        <v>3</v>
      </c>
      <c r="F309" s="1049"/>
      <c r="G309" s="1050" t="s">
        <v>1701</v>
      </c>
      <c r="H309" s="1050"/>
      <c r="I309" s="1050"/>
      <c r="J309" s="1050"/>
      <c r="K309" s="1050"/>
      <c r="L309" s="1050"/>
      <c r="M309" s="1050"/>
      <c r="N309" s="1050"/>
      <c r="O309" s="1050"/>
      <c r="P309" s="1051">
        <v>0</v>
      </c>
      <c r="Q309" s="1051"/>
      <c r="R309" s="1051"/>
      <c r="S309" s="1051"/>
      <c r="T309" s="1051"/>
      <c r="U309" s="1051"/>
      <c r="V309" s="52"/>
    </row>
    <row r="310" spans="1:22" s="141" customFormat="1" ht="20.25" customHeight="1">
      <c r="A310" s="650"/>
      <c r="B310" s="37"/>
      <c r="C310" s="37"/>
      <c r="E310" s="1049">
        <v>4</v>
      </c>
      <c r="F310" s="1049"/>
      <c r="G310" s="1050" t="s">
        <v>627</v>
      </c>
      <c r="H310" s="1050"/>
      <c r="I310" s="1050"/>
      <c r="J310" s="1050"/>
      <c r="K310" s="1050"/>
      <c r="L310" s="1050"/>
      <c r="M310" s="1050"/>
      <c r="N310" s="1050"/>
      <c r="O310" s="1050"/>
      <c r="P310" s="1051">
        <v>0</v>
      </c>
      <c r="Q310" s="1051"/>
      <c r="R310" s="1051"/>
      <c r="S310" s="1051"/>
      <c r="T310" s="1051"/>
      <c r="U310" s="1051"/>
      <c r="V310" s="52"/>
    </row>
    <row r="311" spans="1:22" s="141" customFormat="1" ht="20.25" customHeight="1">
      <c r="A311" s="650"/>
      <c r="B311" s="37"/>
      <c r="C311" s="37"/>
      <c r="E311" s="1049">
        <v>5</v>
      </c>
      <c r="F311" s="1049"/>
      <c r="G311" s="1050" t="s">
        <v>867</v>
      </c>
      <c r="H311" s="1050"/>
      <c r="I311" s="1050"/>
      <c r="J311" s="1050"/>
      <c r="K311" s="1050"/>
      <c r="L311" s="1050"/>
      <c r="M311" s="1050"/>
      <c r="N311" s="1050"/>
      <c r="O311" s="1050"/>
      <c r="P311" s="1051">
        <v>0</v>
      </c>
      <c r="Q311" s="1051"/>
      <c r="R311" s="1051"/>
      <c r="S311" s="1051"/>
      <c r="T311" s="1051"/>
      <c r="U311" s="1051"/>
      <c r="V311" s="52"/>
    </row>
    <row r="312" spans="1:22" s="141" customFormat="1" ht="20.25" customHeight="1">
      <c r="A312" s="650"/>
      <c r="B312" s="37"/>
      <c r="C312" s="37"/>
      <c r="E312" s="1049">
        <v>6</v>
      </c>
      <c r="F312" s="1049"/>
      <c r="G312" s="1050" t="s">
        <v>1702</v>
      </c>
      <c r="H312" s="1050"/>
      <c r="I312" s="1050"/>
      <c r="J312" s="1050"/>
      <c r="K312" s="1050"/>
      <c r="L312" s="1050"/>
      <c r="M312" s="1050"/>
      <c r="N312" s="1050"/>
      <c r="O312" s="1050"/>
      <c r="P312" s="1051">
        <v>0</v>
      </c>
      <c r="Q312" s="1051"/>
      <c r="R312" s="1051"/>
      <c r="S312" s="1051"/>
      <c r="T312" s="1051"/>
      <c r="U312" s="1051"/>
      <c r="V312" s="52"/>
    </row>
    <row r="313" spans="1:22" s="141" customFormat="1" ht="20.25" customHeight="1">
      <c r="A313" s="650"/>
      <c r="B313" s="37"/>
      <c r="C313" s="37"/>
      <c r="E313" s="1052" t="s">
        <v>1246</v>
      </c>
      <c r="F313" s="1053"/>
      <c r="G313" s="1053"/>
      <c r="H313" s="1053"/>
      <c r="I313" s="1053"/>
      <c r="J313" s="1053"/>
      <c r="K313" s="1053"/>
      <c r="L313" s="1053"/>
      <c r="M313" s="1053"/>
      <c r="N313" s="1053"/>
      <c r="O313" s="1054"/>
      <c r="P313" s="1055">
        <f>SUM(P307:U312)</f>
        <v>0</v>
      </c>
      <c r="Q313" s="1055"/>
      <c r="R313" s="1055"/>
      <c r="S313" s="1055"/>
      <c r="T313" s="1055"/>
      <c r="U313" s="1055"/>
      <c r="V313" s="52"/>
    </row>
    <row r="314" spans="1:22" s="141" customFormat="1" ht="72" customHeight="1">
      <c r="A314" s="650"/>
      <c r="B314" s="37"/>
      <c r="C314" s="37"/>
      <c r="D314" s="123"/>
      <c r="E314" s="124"/>
      <c r="F314" s="124"/>
      <c r="G314" s="124"/>
      <c r="H314" s="124"/>
      <c r="I314" s="124"/>
      <c r="J314" s="124"/>
      <c r="K314" s="124"/>
      <c r="L314" s="124"/>
      <c r="M314" s="696"/>
      <c r="N314" s="68"/>
      <c r="O314" s="68"/>
      <c r="P314" s="68"/>
      <c r="Q314" s="68"/>
      <c r="R314" s="37"/>
      <c r="S314" s="37"/>
      <c r="T314" s="654"/>
      <c r="U314" s="654"/>
      <c r="V314" s="52"/>
    </row>
    <row r="315" spans="1:38" s="699" customFormat="1" ht="18" customHeight="1">
      <c r="A315" s="698"/>
      <c r="C315" s="700" t="s">
        <v>16</v>
      </c>
      <c r="D315" s="1272" t="s">
        <v>228</v>
      </c>
      <c r="E315" s="1272"/>
      <c r="F315" s="1272"/>
      <c r="G315" s="1272"/>
      <c r="H315" s="1272"/>
      <c r="I315" s="1272"/>
      <c r="J315" s="1272"/>
      <c r="K315" s="1272"/>
      <c r="L315" s="1272"/>
      <c r="M315" s="1272"/>
      <c r="N315" s="1272"/>
      <c r="O315" s="1272"/>
      <c r="P315" s="1272"/>
      <c r="Q315" s="1272"/>
      <c r="R315" s="1272"/>
      <c r="S315" s="1272"/>
      <c r="T315" s="1272"/>
      <c r="U315" s="1272"/>
      <c r="V315" s="1567"/>
      <c r="W315" s="1567"/>
      <c r="X315" s="1567"/>
      <c r="Y315" s="1567"/>
      <c r="Z315" s="1567"/>
      <c r="AA315" s="1567"/>
      <c r="AB315" s="1567"/>
      <c r="AC315" s="1567"/>
      <c r="AD315" s="1567"/>
      <c r="AE315" s="1567"/>
      <c r="AF315" s="1567"/>
      <c r="AG315" s="1567"/>
      <c r="AH315" s="1567"/>
      <c r="AI315" s="1567"/>
      <c r="AJ315" s="1567"/>
      <c r="AK315" s="1567"/>
      <c r="AL315" s="1567"/>
    </row>
    <row r="316" spans="1:38" s="141" customFormat="1" ht="19.5" customHeight="1">
      <c r="A316" s="650"/>
      <c r="B316" s="701"/>
      <c r="D316" s="1056" t="str">
        <f>"Pendapatan Transfer per "&amp;'2.ISIAN DATA SKPD'!D10&amp;" sebesar Rp. "&amp;FIXED(J324)&amp;""</f>
        <v>Pendapatan Transfer per 31 Desember 2017 sebesar Rp. 0.00</v>
      </c>
      <c r="E316" s="1056"/>
      <c r="F316" s="1056"/>
      <c r="G316" s="1056"/>
      <c r="H316" s="1056"/>
      <c r="I316" s="1056"/>
      <c r="J316" s="1056"/>
      <c r="K316" s="1056"/>
      <c r="L316" s="1056"/>
      <c r="M316" s="1056"/>
      <c r="N316" s="1056"/>
      <c r="O316" s="1056"/>
      <c r="P316" s="1056"/>
      <c r="Q316" s="1056"/>
      <c r="R316" s="1056"/>
      <c r="S316" s="1056"/>
      <c r="T316" s="1056"/>
      <c r="U316" s="1056"/>
      <c r="V316" s="1470"/>
      <c r="W316" s="1470"/>
      <c r="X316" s="1470"/>
      <c r="Y316" s="1470"/>
      <c r="Z316" s="1470"/>
      <c r="AA316" s="1470"/>
      <c r="AB316" s="1470"/>
      <c r="AC316" s="1470"/>
      <c r="AD316" s="1470"/>
      <c r="AE316" s="1470"/>
      <c r="AF316" s="1470"/>
      <c r="AG316" s="1470"/>
      <c r="AH316" s="1470"/>
      <c r="AI316" s="1470"/>
      <c r="AJ316" s="1470"/>
      <c r="AK316" s="1470"/>
      <c r="AL316" s="1470"/>
    </row>
    <row r="317" spans="1:38" s="141" customFormat="1" ht="30" customHeight="1">
      <c r="A317" s="650"/>
      <c r="B317" s="701"/>
      <c r="D317" s="1056" t="s">
        <v>783</v>
      </c>
      <c r="E317" s="1056"/>
      <c r="F317" s="1056"/>
      <c r="G317" s="1056"/>
      <c r="H317" s="1056"/>
      <c r="I317" s="1056"/>
      <c r="J317" s="1056"/>
      <c r="K317" s="1056"/>
      <c r="L317" s="1056"/>
      <c r="M317" s="1056"/>
      <c r="N317" s="1056"/>
      <c r="O317" s="1056"/>
      <c r="P317" s="1056"/>
      <c r="Q317" s="1056"/>
      <c r="R317" s="1056"/>
      <c r="S317" s="1056"/>
      <c r="T317" s="1056"/>
      <c r="U317" s="1056"/>
      <c r="V317" s="1470"/>
      <c r="W317" s="1470"/>
      <c r="X317" s="1470"/>
      <c r="Y317" s="1470"/>
      <c r="Z317" s="1470"/>
      <c r="AA317" s="1470"/>
      <c r="AB317" s="1470"/>
      <c r="AC317" s="1470"/>
      <c r="AD317" s="1470"/>
      <c r="AE317" s="1470"/>
      <c r="AF317" s="1470"/>
      <c r="AG317" s="1470"/>
      <c r="AH317" s="1470"/>
      <c r="AI317" s="1470"/>
      <c r="AJ317" s="1470"/>
      <c r="AK317" s="1470"/>
      <c r="AL317" s="1470"/>
    </row>
    <row r="318" spans="1:38" s="141" customFormat="1" ht="6.75" customHeight="1">
      <c r="A318" s="650"/>
      <c r="B318" s="701"/>
      <c r="C318" s="702"/>
      <c r="D318" s="702"/>
      <c r="E318" s="702"/>
      <c r="F318" s="702"/>
      <c r="G318" s="702"/>
      <c r="H318" s="702"/>
      <c r="I318" s="702"/>
      <c r="J318" s="702"/>
      <c r="K318" s="702"/>
      <c r="L318" s="702"/>
      <c r="M318" s="702"/>
      <c r="N318" s="702"/>
      <c r="O318" s="702"/>
      <c r="P318" s="702"/>
      <c r="Q318" s="702"/>
      <c r="R318" s="702"/>
      <c r="S318" s="702"/>
      <c r="T318" s="702"/>
      <c r="U318" s="702"/>
      <c r="V318" s="1470"/>
      <c r="W318" s="1470"/>
      <c r="X318" s="1470"/>
      <c r="Y318" s="1470"/>
      <c r="Z318" s="1470"/>
      <c r="AA318" s="1470"/>
      <c r="AB318" s="1470"/>
      <c r="AC318" s="1470"/>
      <c r="AD318" s="1470"/>
      <c r="AE318" s="1470"/>
      <c r="AF318" s="1470"/>
      <c r="AG318" s="1470"/>
      <c r="AH318" s="1470"/>
      <c r="AI318" s="1470"/>
      <c r="AJ318" s="1470"/>
      <c r="AK318" s="1470"/>
      <c r="AL318" s="1470"/>
    </row>
    <row r="319" spans="1:22" s="141" customFormat="1" ht="17.25" customHeight="1">
      <c r="A319" s="1212" t="s">
        <v>228</v>
      </c>
      <c r="B319" s="1213"/>
      <c r="C319" s="1214"/>
      <c r="D319" s="1267">
        <f>D232</f>
        <v>2017</v>
      </c>
      <c r="E319" s="1268"/>
      <c r="F319" s="1268"/>
      <c r="G319" s="1268"/>
      <c r="H319" s="1268"/>
      <c r="I319" s="1268"/>
      <c r="J319" s="1268"/>
      <c r="K319" s="1268"/>
      <c r="L319" s="1268"/>
      <c r="M319" s="1268"/>
      <c r="N319" s="1269"/>
      <c r="O319" s="1245">
        <f>O256</f>
        <v>2016</v>
      </c>
      <c r="P319" s="1246"/>
      <c r="Q319" s="1246"/>
      <c r="R319" s="1246"/>
      <c r="S319" s="1247"/>
      <c r="T319" s="1263" t="s">
        <v>195</v>
      </c>
      <c r="U319" s="1264"/>
      <c r="V319" s="52"/>
    </row>
    <row r="320" spans="1:22" s="141" customFormat="1" ht="15.75" customHeight="1">
      <c r="A320" s="1215"/>
      <c r="B320" s="1216"/>
      <c r="C320" s="1217"/>
      <c r="D320" s="1245" t="s">
        <v>80</v>
      </c>
      <c r="E320" s="1246"/>
      <c r="F320" s="1246"/>
      <c r="G320" s="1246"/>
      <c r="H320" s="1246"/>
      <c r="I320" s="1247"/>
      <c r="J320" s="1245" t="s">
        <v>81</v>
      </c>
      <c r="K320" s="1246"/>
      <c r="L320" s="1246"/>
      <c r="M320" s="1246"/>
      <c r="N320" s="1247"/>
      <c r="O320" s="1245" t="s">
        <v>81</v>
      </c>
      <c r="P320" s="1246"/>
      <c r="Q320" s="1246"/>
      <c r="R320" s="1246"/>
      <c r="S320" s="1247"/>
      <c r="T320" s="1265"/>
      <c r="U320" s="1266"/>
      <c r="V320" s="52"/>
    </row>
    <row r="321" spans="1:22" s="141" customFormat="1" ht="27" customHeight="1">
      <c r="A321" s="1221" t="s">
        <v>255</v>
      </c>
      <c r="B321" s="1222"/>
      <c r="C321" s="1223"/>
      <c r="D321" s="1248">
        <f>'3.LRA'!D26</f>
        <v>0</v>
      </c>
      <c r="E321" s="1249"/>
      <c r="F321" s="1249"/>
      <c r="G321" s="1249"/>
      <c r="H321" s="1249"/>
      <c r="I321" s="1250"/>
      <c r="J321" s="1248">
        <f>'3.LRA'!E26</f>
        <v>0</v>
      </c>
      <c r="K321" s="1249"/>
      <c r="L321" s="1249"/>
      <c r="M321" s="1249"/>
      <c r="N321" s="1250"/>
      <c r="O321" s="1251">
        <f>'3.LRA'!I26</f>
        <v>0</v>
      </c>
      <c r="P321" s="1252"/>
      <c r="Q321" s="1252"/>
      <c r="R321" s="1252"/>
      <c r="S321" s="1253"/>
      <c r="T321" s="1270">
        <v>0</v>
      </c>
      <c r="U321" s="1271"/>
      <c r="V321" s="52"/>
    </row>
    <row r="322" spans="1:22" s="141" customFormat="1" ht="27" customHeight="1">
      <c r="A322" s="1221" t="s">
        <v>1512</v>
      </c>
      <c r="B322" s="1222"/>
      <c r="C322" s="1223"/>
      <c r="D322" s="1248">
        <f>'3.LRA'!D27</f>
        <v>0</v>
      </c>
      <c r="E322" s="1249"/>
      <c r="F322" s="1249"/>
      <c r="G322" s="1249"/>
      <c r="H322" s="1249"/>
      <c r="I322" s="1250"/>
      <c r="J322" s="1248">
        <f>'3.LRA'!E27</f>
        <v>0</v>
      </c>
      <c r="K322" s="1249"/>
      <c r="L322" s="1249"/>
      <c r="M322" s="1249"/>
      <c r="N322" s="1250"/>
      <c r="O322" s="1251">
        <f>'3.LRA'!I27</f>
        <v>0</v>
      </c>
      <c r="P322" s="1252"/>
      <c r="Q322" s="1252"/>
      <c r="R322" s="1252"/>
      <c r="S322" s="1253"/>
      <c r="T322" s="1270">
        <v>0</v>
      </c>
      <c r="U322" s="1271"/>
      <c r="V322" s="52"/>
    </row>
    <row r="323" spans="1:22" s="141" customFormat="1" ht="27" customHeight="1">
      <c r="A323" s="1221" t="s">
        <v>250</v>
      </c>
      <c r="B323" s="1222"/>
      <c r="C323" s="1223"/>
      <c r="D323" s="1248">
        <f>'3.LRA'!D28</f>
        <v>0</v>
      </c>
      <c r="E323" s="1249"/>
      <c r="F323" s="1249"/>
      <c r="G323" s="1249"/>
      <c r="H323" s="1249"/>
      <c r="I323" s="1250"/>
      <c r="J323" s="1248">
        <f>'3.LRA'!E28</f>
        <v>0</v>
      </c>
      <c r="K323" s="1249"/>
      <c r="L323" s="1249"/>
      <c r="M323" s="1249"/>
      <c r="N323" s="1250"/>
      <c r="O323" s="1251">
        <f>'3.LRA'!I28</f>
        <v>0</v>
      </c>
      <c r="P323" s="1252"/>
      <c r="Q323" s="1252"/>
      <c r="R323" s="1252"/>
      <c r="S323" s="1253"/>
      <c r="T323" s="1270">
        <v>0</v>
      </c>
      <c r="U323" s="1271"/>
      <c r="V323" s="52"/>
    </row>
    <row r="324" spans="1:22" s="141" customFormat="1" ht="24" customHeight="1">
      <c r="A324" s="1245" t="s">
        <v>254</v>
      </c>
      <c r="B324" s="1246"/>
      <c r="C324" s="1247"/>
      <c r="D324" s="1260">
        <f>SUM(D321:I323)</f>
        <v>0</v>
      </c>
      <c r="E324" s="1261"/>
      <c r="F324" s="1261"/>
      <c r="G324" s="1261"/>
      <c r="H324" s="1261"/>
      <c r="I324" s="1262"/>
      <c r="J324" s="1260">
        <f>SUM(J321:N323)</f>
        <v>0</v>
      </c>
      <c r="K324" s="1261"/>
      <c r="L324" s="1261"/>
      <c r="M324" s="1261"/>
      <c r="N324" s="1262"/>
      <c r="O324" s="1260">
        <f>SUM(O321:S323)</f>
        <v>0</v>
      </c>
      <c r="P324" s="1261"/>
      <c r="Q324" s="1261"/>
      <c r="R324" s="1261"/>
      <c r="S324" s="1262"/>
      <c r="T324" s="1270">
        <v>0</v>
      </c>
      <c r="U324" s="1271"/>
      <c r="V324" s="52"/>
    </row>
    <row r="325" spans="1:22" s="141" customFormat="1" ht="8.25" customHeight="1">
      <c r="A325" s="650"/>
      <c r="B325" s="37" t="s">
        <v>5</v>
      </c>
      <c r="C325" s="37"/>
      <c r="D325" s="37"/>
      <c r="E325" s="37"/>
      <c r="F325" s="37"/>
      <c r="G325" s="37"/>
      <c r="H325" s="37"/>
      <c r="I325" s="37"/>
      <c r="J325" s="37"/>
      <c r="K325" s="37"/>
      <c r="L325" s="37"/>
      <c r="M325" s="37"/>
      <c r="N325" s="37"/>
      <c r="O325" s="37"/>
      <c r="P325" s="37"/>
      <c r="Q325" s="37"/>
      <c r="R325" s="37"/>
      <c r="S325" s="37"/>
      <c r="T325" s="654"/>
      <c r="U325" s="654"/>
      <c r="V325" s="52"/>
    </row>
    <row r="326" spans="1:22" s="141" customFormat="1" ht="18" customHeight="1">
      <c r="A326" s="650"/>
      <c r="C326" s="693" t="s">
        <v>17</v>
      </c>
      <c r="D326" s="1524" t="s">
        <v>227</v>
      </c>
      <c r="E326" s="1524"/>
      <c r="F326" s="1524"/>
      <c r="G326" s="1524"/>
      <c r="H326" s="1524"/>
      <c r="I326" s="1524"/>
      <c r="J326" s="1524"/>
      <c r="K326" s="1524"/>
      <c r="L326" s="1524"/>
      <c r="M326" s="1524"/>
      <c r="N326" s="1524"/>
      <c r="O326" s="1524"/>
      <c r="P326" s="1524"/>
      <c r="Q326" s="1524"/>
      <c r="R326" s="1524"/>
      <c r="S326" s="1524"/>
      <c r="T326" s="1524"/>
      <c r="U326" s="1524"/>
      <c r="V326" s="52"/>
    </row>
    <row r="327" spans="1:22" s="141" customFormat="1" ht="31.5" customHeight="1">
      <c r="A327" s="650"/>
      <c r="B327" s="701"/>
      <c r="D327" s="1056" t="str">
        <f>"Lain-lain pendapatan yang sah per "&amp;'2.ISIAN DATA SKPD'!D8&amp;" sebesar Rp. "&amp;FIXED(J335)&amp;""</f>
        <v>Lain-lain pendapatan yang sah per 31 Desember 2017 sebesar Rp. 0.00</v>
      </c>
      <c r="E327" s="1056"/>
      <c r="F327" s="1056"/>
      <c r="G327" s="1056"/>
      <c r="H327" s="1056"/>
      <c r="I327" s="1056"/>
      <c r="J327" s="1056"/>
      <c r="K327" s="1056"/>
      <c r="L327" s="1056"/>
      <c r="M327" s="1056"/>
      <c r="N327" s="1056"/>
      <c r="O327" s="1056"/>
      <c r="P327" s="1056"/>
      <c r="Q327" s="1056"/>
      <c r="R327" s="1056"/>
      <c r="S327" s="1056"/>
      <c r="T327" s="1056"/>
      <c r="U327" s="1056"/>
      <c r="V327" s="52"/>
    </row>
    <row r="328" spans="1:22" s="141" customFormat="1" ht="30" customHeight="1">
      <c r="A328" s="650"/>
      <c r="B328" s="701"/>
      <c r="D328" s="1056" t="s">
        <v>784</v>
      </c>
      <c r="E328" s="1056"/>
      <c r="F328" s="1056"/>
      <c r="G328" s="1056"/>
      <c r="H328" s="1056"/>
      <c r="I328" s="1056"/>
      <c r="J328" s="1056"/>
      <c r="K328" s="1056"/>
      <c r="L328" s="1056"/>
      <c r="M328" s="1056"/>
      <c r="N328" s="1056"/>
      <c r="O328" s="1056"/>
      <c r="P328" s="1056"/>
      <c r="Q328" s="1056"/>
      <c r="R328" s="1056"/>
      <c r="S328" s="1056"/>
      <c r="T328" s="1056"/>
      <c r="U328" s="1056"/>
      <c r="V328" s="52"/>
    </row>
    <row r="329" spans="1:22" s="141" customFormat="1" ht="6.75" customHeight="1">
      <c r="A329" s="650"/>
      <c r="B329" s="701"/>
      <c r="D329" s="679"/>
      <c r="E329" s="679"/>
      <c r="F329" s="679"/>
      <c r="G329" s="679"/>
      <c r="H329" s="679"/>
      <c r="I329" s="679"/>
      <c r="J329" s="679"/>
      <c r="K329" s="679"/>
      <c r="L329" s="679"/>
      <c r="M329" s="679"/>
      <c r="N329" s="679"/>
      <c r="O329" s="679"/>
      <c r="P329" s="679"/>
      <c r="Q329" s="679"/>
      <c r="R329" s="679"/>
      <c r="S329" s="679"/>
      <c r="T329" s="679"/>
      <c r="U329" s="679"/>
      <c r="V329" s="52"/>
    </row>
    <row r="330" spans="1:22" s="141" customFormat="1" ht="18" customHeight="1">
      <c r="A330" s="1254" t="str">
        <f>D326</f>
        <v>Lain-lain Pendapatan Yang Sah</v>
      </c>
      <c r="B330" s="1255"/>
      <c r="C330" s="1256"/>
      <c r="D330" s="1267">
        <f>D319</f>
        <v>2017</v>
      </c>
      <c r="E330" s="1268"/>
      <c r="F330" s="1268"/>
      <c r="G330" s="1268"/>
      <c r="H330" s="1268"/>
      <c r="I330" s="1268"/>
      <c r="J330" s="1268"/>
      <c r="K330" s="1268"/>
      <c r="L330" s="1268"/>
      <c r="M330" s="1268"/>
      <c r="N330" s="1269"/>
      <c r="O330" s="1245">
        <f>O319</f>
        <v>2016</v>
      </c>
      <c r="P330" s="1246"/>
      <c r="Q330" s="1246"/>
      <c r="R330" s="1246"/>
      <c r="S330" s="1247"/>
      <c r="T330" s="1263" t="s">
        <v>195</v>
      </c>
      <c r="U330" s="1264"/>
      <c r="V330" s="52"/>
    </row>
    <row r="331" spans="1:22" s="141" customFormat="1" ht="32.25" customHeight="1">
      <c r="A331" s="1257"/>
      <c r="B331" s="1258"/>
      <c r="C331" s="1259"/>
      <c r="D331" s="1245" t="s">
        <v>80</v>
      </c>
      <c r="E331" s="1246"/>
      <c r="F331" s="1246"/>
      <c r="G331" s="1246"/>
      <c r="H331" s="1246"/>
      <c r="I331" s="1247"/>
      <c r="J331" s="1245" t="s">
        <v>81</v>
      </c>
      <c r="K331" s="1246"/>
      <c r="L331" s="1246"/>
      <c r="M331" s="1246"/>
      <c r="N331" s="1247"/>
      <c r="O331" s="1245" t="s">
        <v>81</v>
      </c>
      <c r="P331" s="1246"/>
      <c r="Q331" s="1246"/>
      <c r="R331" s="1246"/>
      <c r="S331" s="1247"/>
      <c r="T331" s="1265"/>
      <c r="U331" s="1266"/>
      <c r="V331" s="52"/>
    </row>
    <row r="332" spans="1:22" s="141" customFormat="1" ht="18" customHeight="1">
      <c r="A332" s="1093" t="str">
        <f>'3.LRA'!C30</f>
        <v>Pendapatan Hibah</v>
      </c>
      <c r="B332" s="1094"/>
      <c r="C332" s="1095"/>
      <c r="D332" s="1236">
        <f>'3.LRA'!D30</f>
        <v>0</v>
      </c>
      <c r="E332" s="1237"/>
      <c r="F332" s="1237"/>
      <c r="G332" s="1237"/>
      <c r="H332" s="1237"/>
      <c r="I332" s="1238"/>
      <c r="J332" s="1236">
        <f>'3.LRA'!E30</f>
        <v>0</v>
      </c>
      <c r="K332" s="1237"/>
      <c r="L332" s="1237"/>
      <c r="M332" s="1237"/>
      <c r="N332" s="1238"/>
      <c r="O332" s="1209">
        <f>'3.LRA'!I30</f>
        <v>0</v>
      </c>
      <c r="P332" s="1210"/>
      <c r="Q332" s="1210"/>
      <c r="R332" s="1210"/>
      <c r="S332" s="1211"/>
      <c r="T332" s="1270">
        <v>0</v>
      </c>
      <c r="U332" s="1271"/>
      <c r="V332" s="52"/>
    </row>
    <row r="333" spans="1:22" s="141" customFormat="1" ht="28.5" customHeight="1">
      <c r="A333" s="1093" t="str">
        <f>'3.LRA'!C31</f>
        <v>Pendapatan Dana darurat</v>
      </c>
      <c r="B333" s="1094"/>
      <c r="C333" s="1095"/>
      <c r="D333" s="1236">
        <f>'3.LRA'!D31</f>
        <v>0</v>
      </c>
      <c r="E333" s="1237"/>
      <c r="F333" s="1237"/>
      <c r="G333" s="1237"/>
      <c r="H333" s="1237"/>
      <c r="I333" s="1238"/>
      <c r="J333" s="1236">
        <f>'3.LRA'!E31</f>
        <v>0</v>
      </c>
      <c r="K333" s="1237"/>
      <c r="L333" s="1237"/>
      <c r="M333" s="1237"/>
      <c r="N333" s="1238"/>
      <c r="O333" s="1209">
        <f>'3.LRA'!I31</f>
        <v>0</v>
      </c>
      <c r="P333" s="1210"/>
      <c r="Q333" s="1210"/>
      <c r="R333" s="1210"/>
      <c r="S333" s="1211"/>
      <c r="T333" s="1270">
        <v>0</v>
      </c>
      <c r="U333" s="1271"/>
      <c r="V333" s="52"/>
    </row>
    <row r="334" spans="1:22" s="141" customFormat="1" ht="18" customHeight="1">
      <c r="A334" s="1093" t="str">
        <f>'3.LRA'!C32</f>
        <v>Pendapatan Lainnya</v>
      </c>
      <c r="B334" s="1094"/>
      <c r="C334" s="1095"/>
      <c r="D334" s="1236">
        <f>'3.LRA'!D32</f>
        <v>0</v>
      </c>
      <c r="E334" s="1237"/>
      <c r="F334" s="1237"/>
      <c r="G334" s="1237"/>
      <c r="H334" s="1237"/>
      <c r="I334" s="1238"/>
      <c r="J334" s="1236">
        <f>'3.LRA'!E32</f>
        <v>0</v>
      </c>
      <c r="K334" s="1237"/>
      <c r="L334" s="1237"/>
      <c r="M334" s="1237"/>
      <c r="N334" s="1238"/>
      <c r="O334" s="1209">
        <f>'3.LRA'!I32</f>
        <v>0</v>
      </c>
      <c r="P334" s="1210"/>
      <c r="Q334" s="1210"/>
      <c r="R334" s="1210"/>
      <c r="S334" s="1211"/>
      <c r="T334" s="1270">
        <v>0</v>
      </c>
      <c r="U334" s="1271"/>
      <c r="V334" s="52"/>
    </row>
    <row r="335" spans="1:22" s="141" customFormat="1" ht="21" customHeight="1">
      <c r="A335" s="1126" t="s">
        <v>10</v>
      </c>
      <c r="B335" s="1127"/>
      <c r="C335" s="1128"/>
      <c r="D335" s="1569">
        <f>SUM(D332:I334)</f>
        <v>0</v>
      </c>
      <c r="E335" s="1570"/>
      <c r="F335" s="1570"/>
      <c r="G335" s="1570"/>
      <c r="H335" s="1570"/>
      <c r="I335" s="1571"/>
      <c r="J335" s="1569">
        <f>SUM(J332:N334)</f>
        <v>0</v>
      </c>
      <c r="K335" s="1570"/>
      <c r="L335" s="1570"/>
      <c r="M335" s="1570"/>
      <c r="N335" s="1571"/>
      <c r="O335" s="1569">
        <f>SUM(O332:S334)</f>
        <v>0</v>
      </c>
      <c r="P335" s="1570"/>
      <c r="Q335" s="1570"/>
      <c r="R335" s="1570"/>
      <c r="S335" s="1571"/>
      <c r="T335" s="1565">
        <v>0</v>
      </c>
      <c r="U335" s="1566"/>
      <c r="V335" s="52"/>
    </row>
    <row r="336" spans="1:22" s="141" customFormat="1" ht="8.25" customHeight="1">
      <c r="A336" s="650"/>
      <c r="B336" s="37"/>
      <c r="C336" s="37"/>
      <c r="D336" s="37"/>
      <c r="E336" s="1456"/>
      <c r="F336" s="1456"/>
      <c r="G336" s="1456"/>
      <c r="H336" s="1456"/>
      <c r="I336" s="1456"/>
      <c r="J336" s="1456"/>
      <c r="K336" s="1456"/>
      <c r="L336" s="1456"/>
      <c r="M336" s="1456"/>
      <c r="N336" s="1456"/>
      <c r="O336" s="1456"/>
      <c r="P336" s="1456"/>
      <c r="Q336" s="1456"/>
      <c r="R336" s="1456"/>
      <c r="S336" s="1456"/>
      <c r="T336" s="1456"/>
      <c r="U336" s="1456"/>
      <c r="V336" s="52"/>
    </row>
    <row r="337" spans="1:22" s="141" customFormat="1" ht="18.75" customHeight="1">
      <c r="A337" s="1516"/>
      <c r="B337" s="703" t="s">
        <v>2</v>
      </c>
      <c r="C337" s="115" t="s">
        <v>111</v>
      </c>
      <c r="E337" s="115"/>
      <c r="F337" s="115"/>
      <c r="G337" s="52"/>
      <c r="H337" s="52"/>
      <c r="I337" s="52"/>
      <c r="J337" s="52"/>
      <c r="K337" s="52"/>
      <c r="L337" s="38"/>
      <c r="M337" s="38"/>
      <c r="N337" s="38"/>
      <c r="O337" s="38"/>
      <c r="P337" s="38"/>
      <c r="Q337" s="38"/>
      <c r="R337" s="38"/>
      <c r="S337" s="38"/>
      <c r="T337" s="655"/>
      <c r="U337" s="655"/>
      <c r="V337" s="52"/>
    </row>
    <row r="338" spans="1:22" s="141" customFormat="1" ht="78.75" customHeight="1">
      <c r="A338" s="1516"/>
      <c r="C338" s="1091" t="s">
        <v>1628</v>
      </c>
      <c r="D338" s="1091"/>
      <c r="E338" s="1091"/>
      <c r="F338" s="1091"/>
      <c r="G338" s="1091"/>
      <c r="H338" s="1091"/>
      <c r="I338" s="1091"/>
      <c r="J338" s="1091"/>
      <c r="K338" s="1091"/>
      <c r="L338" s="1091"/>
      <c r="M338" s="1091"/>
      <c r="N338" s="1091"/>
      <c r="O338" s="1091"/>
      <c r="P338" s="1091"/>
      <c r="Q338" s="1091"/>
      <c r="R338" s="1091"/>
      <c r="S338" s="1091"/>
      <c r="T338" s="1091"/>
      <c r="U338" s="1091"/>
      <c r="V338" s="52"/>
    </row>
    <row r="339" spans="1:22" s="141" customFormat="1" ht="32.25" customHeight="1">
      <c r="A339" s="1516"/>
      <c r="C339" s="1091" t="str">
        <f>"Komposisi anggaran dan realisasi belanja TA "&amp;'2.ISIAN DATA SKPD'!D11&amp;" dapat dilihat dalam grafik berikut ini:"</f>
        <v>Komposisi anggaran dan realisasi belanja TA 2017 dapat dilihat dalam grafik berikut ini:</v>
      </c>
      <c r="D339" s="1091"/>
      <c r="E339" s="1091"/>
      <c r="F339" s="1091"/>
      <c r="G339" s="1091"/>
      <c r="H339" s="1091"/>
      <c r="I339" s="1091"/>
      <c r="J339" s="1091"/>
      <c r="K339" s="1091"/>
      <c r="L339" s="1091"/>
      <c r="M339" s="1091"/>
      <c r="N339" s="1091"/>
      <c r="O339" s="1091"/>
      <c r="P339" s="1091"/>
      <c r="Q339" s="1091"/>
      <c r="R339" s="1091"/>
      <c r="S339" s="1091"/>
      <c r="T339" s="1091"/>
      <c r="U339" s="1091"/>
      <c r="V339" s="52"/>
    </row>
    <row r="340" spans="1:22" s="141" customFormat="1" ht="20.25" customHeight="1">
      <c r="A340" s="1516"/>
      <c r="C340" s="702"/>
      <c r="D340" s="702"/>
      <c r="E340" s="702"/>
      <c r="F340" s="702"/>
      <c r="G340" s="702"/>
      <c r="H340" s="702"/>
      <c r="I340" s="702"/>
      <c r="J340" s="702"/>
      <c r="K340" s="702"/>
      <c r="L340" s="702"/>
      <c r="M340" s="702"/>
      <c r="N340" s="702"/>
      <c r="O340" s="702"/>
      <c r="P340" s="702"/>
      <c r="Q340" s="702"/>
      <c r="R340" s="702"/>
      <c r="S340" s="702"/>
      <c r="T340" s="702"/>
      <c r="U340" s="702"/>
      <c r="V340" s="52"/>
    </row>
    <row r="341" spans="1:35" s="141" customFormat="1" ht="20.25" customHeight="1">
      <c r="A341" s="1516"/>
      <c r="C341" s="702"/>
      <c r="D341" s="702"/>
      <c r="E341" s="702"/>
      <c r="F341" s="702"/>
      <c r="G341" s="702"/>
      <c r="H341" s="702"/>
      <c r="I341" s="702"/>
      <c r="J341" s="702"/>
      <c r="K341" s="702"/>
      <c r="L341" s="702"/>
      <c r="M341" s="702"/>
      <c r="N341" s="702"/>
      <c r="O341" s="702"/>
      <c r="P341" s="702"/>
      <c r="Q341" s="702"/>
      <c r="R341" s="702"/>
      <c r="S341" s="702"/>
      <c r="T341" s="702"/>
      <c r="U341" s="702"/>
      <c r="V341" s="675"/>
      <c r="W341" s="139"/>
      <c r="X341" s="139"/>
      <c r="Y341" s="139"/>
      <c r="Z341" s="139"/>
      <c r="AA341" s="704"/>
      <c r="AB341" s="1066" t="s">
        <v>80</v>
      </c>
      <c r="AC341" s="1067"/>
      <c r="AD341" s="1067"/>
      <c r="AE341" s="1068"/>
      <c r="AF341" s="1066" t="s">
        <v>1655</v>
      </c>
      <c r="AG341" s="1067"/>
      <c r="AH341" s="1067"/>
      <c r="AI341" s="1068"/>
    </row>
    <row r="342" spans="1:35" s="141" customFormat="1" ht="20.25" customHeight="1">
      <c r="A342" s="1516"/>
      <c r="C342" s="702"/>
      <c r="D342" s="702"/>
      <c r="E342" s="702"/>
      <c r="F342" s="702"/>
      <c r="G342" s="702"/>
      <c r="H342" s="702"/>
      <c r="I342" s="702"/>
      <c r="J342" s="702"/>
      <c r="K342" s="702"/>
      <c r="L342" s="702"/>
      <c r="M342" s="702"/>
      <c r="N342" s="702"/>
      <c r="O342" s="702"/>
      <c r="P342" s="702"/>
      <c r="Q342" s="702"/>
      <c r="R342" s="702"/>
      <c r="S342" s="702"/>
      <c r="T342" s="702"/>
      <c r="U342" s="702"/>
      <c r="V342" s="1070" t="str">
        <f>A359</f>
        <v>BELANJA OPERASI</v>
      </c>
      <c r="W342" s="1070"/>
      <c r="X342" s="1070"/>
      <c r="Y342" s="1070"/>
      <c r="Z342" s="1070"/>
      <c r="AA342" s="1071"/>
      <c r="AB342" s="1142">
        <f>E359</f>
        <v>3470534508</v>
      </c>
      <c r="AC342" s="1143"/>
      <c r="AD342" s="1143"/>
      <c r="AE342" s="1144"/>
      <c r="AF342" s="1142">
        <f>J359</f>
        <v>3075286406</v>
      </c>
      <c r="AG342" s="1143"/>
      <c r="AH342" s="1143"/>
      <c r="AI342" s="1144"/>
    </row>
    <row r="343" spans="1:35" s="141" customFormat="1" ht="21" customHeight="1">
      <c r="A343" s="1516"/>
      <c r="C343" s="702"/>
      <c r="D343" s="702"/>
      <c r="E343" s="702"/>
      <c r="F343" s="702"/>
      <c r="G343" s="702"/>
      <c r="H343" s="702"/>
      <c r="I343" s="702"/>
      <c r="J343" s="702"/>
      <c r="K343" s="702"/>
      <c r="L343" s="702"/>
      <c r="M343" s="702"/>
      <c r="N343" s="702"/>
      <c r="O343" s="702"/>
      <c r="P343" s="702"/>
      <c r="Q343" s="702"/>
      <c r="R343" s="702"/>
      <c r="S343" s="702"/>
      <c r="T343" s="702"/>
      <c r="U343" s="702"/>
      <c r="V343" s="1070" t="str">
        <f>A360</f>
        <v>BELANJA MODAL</v>
      </c>
      <c r="W343" s="1070"/>
      <c r="X343" s="1070"/>
      <c r="Y343" s="1070"/>
      <c r="Z343" s="1070"/>
      <c r="AA343" s="1071"/>
      <c r="AB343" s="1142">
        <f>E360</f>
        <v>6301500000</v>
      </c>
      <c r="AC343" s="1143"/>
      <c r="AD343" s="1143"/>
      <c r="AE343" s="1144"/>
      <c r="AF343" s="1142">
        <f>J360</f>
        <v>6256955760</v>
      </c>
      <c r="AG343" s="1143"/>
      <c r="AH343" s="1143"/>
      <c r="AI343" s="1144"/>
    </row>
    <row r="344" spans="1:35" s="141" customFormat="1" ht="21" customHeight="1">
      <c r="A344" s="1516"/>
      <c r="C344" s="702"/>
      <c r="D344" s="702"/>
      <c r="E344" s="702"/>
      <c r="F344" s="702"/>
      <c r="G344" s="702"/>
      <c r="H344" s="702"/>
      <c r="I344" s="702"/>
      <c r="J344" s="702"/>
      <c r="K344" s="702"/>
      <c r="L344" s="702"/>
      <c r="M344" s="702"/>
      <c r="N344" s="702"/>
      <c r="O344" s="702"/>
      <c r="P344" s="702"/>
      <c r="Q344" s="702"/>
      <c r="R344" s="702"/>
      <c r="S344" s="702"/>
      <c r="T344" s="702"/>
      <c r="U344" s="702"/>
      <c r="V344" s="1070" t="s">
        <v>44</v>
      </c>
      <c r="W344" s="1070"/>
      <c r="X344" s="1070"/>
      <c r="Y344" s="1070"/>
      <c r="Z344" s="1070"/>
      <c r="AA344" s="1071"/>
      <c r="AB344" s="1063">
        <f>E361</f>
        <v>0</v>
      </c>
      <c r="AC344" s="1064"/>
      <c r="AD344" s="1064"/>
      <c r="AE344" s="1065"/>
      <c r="AF344" s="1063">
        <f>J361</f>
        <v>0</v>
      </c>
      <c r="AG344" s="1064"/>
      <c r="AH344" s="1064"/>
      <c r="AI344" s="1065"/>
    </row>
    <row r="345" spans="1:35" s="141" customFormat="1" ht="21" customHeight="1">
      <c r="A345" s="1516"/>
      <c r="C345" s="702"/>
      <c r="D345" s="702"/>
      <c r="E345" s="702"/>
      <c r="F345" s="702"/>
      <c r="G345" s="702"/>
      <c r="H345" s="702"/>
      <c r="I345" s="702"/>
      <c r="J345" s="702"/>
      <c r="K345" s="702"/>
      <c r="L345" s="702"/>
      <c r="M345" s="702"/>
      <c r="N345" s="702"/>
      <c r="O345" s="702"/>
      <c r="P345" s="702"/>
      <c r="Q345" s="702"/>
      <c r="R345" s="702"/>
      <c r="S345" s="702"/>
      <c r="T345" s="702"/>
      <c r="U345" s="702"/>
      <c r="V345" s="1070" t="str">
        <f>A362</f>
        <v>TRANSFER</v>
      </c>
      <c r="W345" s="1070"/>
      <c r="X345" s="1070"/>
      <c r="Y345" s="1070"/>
      <c r="Z345" s="1070"/>
      <c r="AA345" s="1071"/>
      <c r="AB345" s="1063">
        <f>E362</f>
        <v>0</v>
      </c>
      <c r="AC345" s="1064"/>
      <c r="AD345" s="1064"/>
      <c r="AE345" s="1065"/>
      <c r="AF345" s="1063">
        <f>J362</f>
        <v>0</v>
      </c>
      <c r="AG345" s="1064"/>
      <c r="AH345" s="1064"/>
      <c r="AI345" s="1065"/>
    </row>
    <row r="346" spans="1:22" s="141" customFormat="1" ht="20.25" customHeight="1">
      <c r="A346" s="1516"/>
      <c r="C346" s="702"/>
      <c r="D346" s="702"/>
      <c r="E346" s="702"/>
      <c r="F346" s="702"/>
      <c r="G346" s="702"/>
      <c r="H346" s="702"/>
      <c r="I346" s="702"/>
      <c r="J346" s="702"/>
      <c r="K346" s="702"/>
      <c r="L346" s="702"/>
      <c r="M346" s="702"/>
      <c r="N346" s="702"/>
      <c r="O346" s="702"/>
      <c r="P346" s="702"/>
      <c r="Q346" s="702"/>
      <c r="R346" s="702"/>
      <c r="S346" s="702"/>
      <c r="T346" s="702"/>
      <c r="U346" s="702"/>
      <c r="V346" s="52"/>
    </row>
    <row r="347" spans="1:22" s="141" customFormat="1" ht="20.25" customHeight="1">
      <c r="A347" s="1516"/>
      <c r="C347" s="702"/>
      <c r="D347" s="702"/>
      <c r="E347" s="702"/>
      <c r="F347" s="702"/>
      <c r="G347" s="702"/>
      <c r="H347" s="702"/>
      <c r="I347" s="702"/>
      <c r="J347" s="702"/>
      <c r="K347" s="702"/>
      <c r="L347" s="702"/>
      <c r="M347" s="702"/>
      <c r="N347" s="702"/>
      <c r="O347" s="702"/>
      <c r="P347" s="702"/>
      <c r="Q347" s="702"/>
      <c r="R347" s="702"/>
      <c r="S347" s="702"/>
      <c r="T347" s="702"/>
      <c r="U347" s="702"/>
      <c r="V347" s="52"/>
    </row>
    <row r="348" spans="1:22" s="141" customFormat="1" ht="10.5" customHeight="1">
      <c r="A348" s="1516"/>
      <c r="C348" s="702"/>
      <c r="D348" s="702"/>
      <c r="E348" s="702"/>
      <c r="F348" s="702"/>
      <c r="G348" s="702"/>
      <c r="H348" s="702"/>
      <c r="I348" s="702"/>
      <c r="J348" s="702"/>
      <c r="K348" s="702"/>
      <c r="L348" s="702"/>
      <c r="M348" s="702"/>
      <c r="N348" s="702"/>
      <c r="O348" s="702"/>
      <c r="P348" s="702"/>
      <c r="Q348" s="702"/>
      <c r="R348" s="702"/>
      <c r="S348" s="702"/>
      <c r="T348" s="702"/>
      <c r="U348" s="702"/>
      <c r="V348" s="52"/>
    </row>
    <row r="349" spans="1:22" s="141" customFormat="1" ht="22.5" customHeight="1" hidden="1">
      <c r="A349" s="1516"/>
      <c r="C349" s="702"/>
      <c r="D349" s="702"/>
      <c r="E349" s="702"/>
      <c r="F349" s="702"/>
      <c r="G349" s="702"/>
      <c r="H349" s="702"/>
      <c r="I349" s="702"/>
      <c r="J349" s="702"/>
      <c r="K349" s="702"/>
      <c r="L349" s="702"/>
      <c r="M349" s="702"/>
      <c r="N349" s="702"/>
      <c r="O349" s="702"/>
      <c r="P349" s="702"/>
      <c r="Q349" s="702"/>
      <c r="R349" s="702"/>
      <c r="S349" s="702"/>
      <c r="T349" s="702"/>
      <c r="U349" s="702"/>
      <c r="V349" s="52"/>
    </row>
    <row r="350" spans="1:22" s="141" customFormat="1" ht="22.5" customHeight="1" hidden="1">
      <c r="A350" s="1516"/>
      <c r="C350" s="702"/>
      <c r="D350" s="702"/>
      <c r="E350" s="702"/>
      <c r="F350" s="702"/>
      <c r="G350" s="702"/>
      <c r="H350" s="702"/>
      <c r="I350" s="702"/>
      <c r="J350" s="702"/>
      <c r="K350" s="702"/>
      <c r="L350" s="702"/>
      <c r="M350" s="702"/>
      <c r="N350" s="702"/>
      <c r="O350" s="702"/>
      <c r="P350" s="702"/>
      <c r="Q350" s="702"/>
      <c r="R350" s="702"/>
      <c r="S350" s="702"/>
      <c r="T350" s="702"/>
      <c r="U350" s="702"/>
      <c r="V350" s="52"/>
    </row>
    <row r="351" spans="1:22" s="141" customFormat="1" ht="22.5" customHeight="1" hidden="1">
      <c r="A351" s="1516"/>
      <c r="C351" s="702"/>
      <c r="D351" s="702"/>
      <c r="E351" s="702"/>
      <c r="F351" s="702"/>
      <c r="G351" s="702"/>
      <c r="H351" s="702"/>
      <c r="I351" s="702"/>
      <c r="J351" s="702"/>
      <c r="K351" s="702"/>
      <c r="L351" s="702"/>
      <c r="M351" s="702"/>
      <c r="N351" s="702"/>
      <c r="O351" s="702"/>
      <c r="P351" s="702"/>
      <c r="Q351" s="702"/>
      <c r="R351" s="702"/>
      <c r="S351" s="702"/>
      <c r="T351" s="702"/>
      <c r="U351" s="702"/>
      <c r="V351" s="52"/>
    </row>
    <row r="352" spans="1:22" s="141" customFormat="1" ht="22.5" customHeight="1" hidden="1">
      <c r="A352" s="1516"/>
      <c r="C352" s="702"/>
      <c r="D352" s="702"/>
      <c r="E352" s="702"/>
      <c r="F352" s="702"/>
      <c r="G352" s="702"/>
      <c r="H352" s="702"/>
      <c r="I352" s="702"/>
      <c r="J352" s="702"/>
      <c r="K352" s="702"/>
      <c r="L352" s="702"/>
      <c r="M352" s="702"/>
      <c r="N352" s="702"/>
      <c r="O352" s="702"/>
      <c r="P352" s="702"/>
      <c r="Q352" s="702"/>
      <c r="R352" s="702"/>
      <c r="S352" s="702"/>
      <c r="T352" s="702"/>
      <c r="U352" s="702"/>
      <c r="V352" s="52"/>
    </row>
    <row r="353" spans="1:22" s="141" customFormat="1" ht="18" customHeight="1" hidden="1">
      <c r="A353" s="1516"/>
      <c r="C353" s="702"/>
      <c r="D353" s="702"/>
      <c r="E353" s="702"/>
      <c r="F353" s="702"/>
      <c r="G353" s="702"/>
      <c r="H353" s="702"/>
      <c r="I353" s="702"/>
      <c r="J353" s="702"/>
      <c r="K353" s="702"/>
      <c r="L353" s="702"/>
      <c r="M353" s="702"/>
      <c r="N353" s="702"/>
      <c r="O353" s="702"/>
      <c r="P353" s="702"/>
      <c r="Q353" s="702"/>
      <c r="R353" s="702"/>
      <c r="S353" s="702"/>
      <c r="T353" s="702"/>
      <c r="U353" s="702"/>
      <c r="V353" s="52"/>
    </row>
    <row r="354" spans="1:22" s="141" customFormat="1" ht="8.25" customHeight="1">
      <c r="A354" s="1516"/>
      <c r="C354" s="702"/>
      <c r="D354" s="702"/>
      <c r="E354" s="702"/>
      <c r="F354" s="702"/>
      <c r="G354" s="702"/>
      <c r="H354" s="702"/>
      <c r="I354" s="702"/>
      <c r="J354" s="702"/>
      <c r="K354" s="702"/>
      <c r="L354" s="702"/>
      <c r="M354" s="702"/>
      <c r="N354" s="702"/>
      <c r="O354" s="702"/>
      <c r="P354" s="702"/>
      <c r="Q354" s="702"/>
      <c r="R354" s="702"/>
      <c r="S354" s="702"/>
      <c r="T354" s="702"/>
      <c r="U354" s="702"/>
      <c r="V354" s="52"/>
    </row>
    <row r="355" spans="1:22" s="141" customFormat="1" ht="32.25" customHeight="1">
      <c r="A355" s="1516"/>
      <c r="C355" s="1091" t="str">
        <f>"Secara garis besar anggaran dan realisasi belanja "&amp;'2.ISIAN DATA SKPD'!D2&amp;" TA "&amp;'2.ISIAN DATA SKPD'!D11&amp;" serta realisasi TA "&amp;'2.ISIAN DATA SKPD'!D12&amp;" dapat disajikan sebagai berikut :"</f>
        <v>Secara garis besar anggaran dan realisasi belanja Kecamatan Kaliwiro TA 2017 serta realisasi TA 2016 dapat disajikan sebagai berikut :</v>
      </c>
      <c r="D355" s="1091"/>
      <c r="E355" s="1091"/>
      <c r="F355" s="1091"/>
      <c r="G355" s="1091"/>
      <c r="H355" s="1091"/>
      <c r="I355" s="1091"/>
      <c r="J355" s="1091"/>
      <c r="K355" s="1091"/>
      <c r="L355" s="1091"/>
      <c r="M355" s="1091"/>
      <c r="N355" s="1091"/>
      <c r="O355" s="1091"/>
      <c r="P355" s="1091"/>
      <c r="Q355" s="1091"/>
      <c r="R355" s="1091"/>
      <c r="S355" s="1091"/>
      <c r="T355" s="1091"/>
      <c r="U355" s="1091"/>
      <c r="V355" s="52"/>
    </row>
    <row r="356" spans="1:22" s="141" customFormat="1" ht="5.25" customHeight="1">
      <c r="A356" s="114"/>
      <c r="C356" s="702"/>
      <c r="D356" s="702"/>
      <c r="E356" s="702"/>
      <c r="F356" s="702"/>
      <c r="G356" s="702"/>
      <c r="H356" s="702"/>
      <c r="I356" s="702"/>
      <c r="J356" s="702"/>
      <c r="K356" s="702"/>
      <c r="L356" s="702"/>
      <c r="M356" s="702"/>
      <c r="N356" s="702"/>
      <c r="O356" s="702"/>
      <c r="P356" s="702"/>
      <c r="Q356" s="702"/>
      <c r="R356" s="702"/>
      <c r="S356" s="702"/>
      <c r="T356" s="702"/>
      <c r="U356" s="702"/>
      <c r="V356" s="52"/>
    </row>
    <row r="357" spans="1:22" s="141" customFormat="1" ht="18.75" customHeight="1">
      <c r="A357" s="650"/>
      <c r="B357" s="1509" t="str">
        <f>"Anggaran dan Realisasi Belanja Tahun Anggaran "&amp;'2.ISIAN DATA SKPD'!D11&amp;""</f>
        <v>Anggaran dan Realisasi Belanja Tahun Anggaran 2017</v>
      </c>
      <c r="C357" s="1509"/>
      <c r="D357" s="1509"/>
      <c r="E357" s="1509"/>
      <c r="F357" s="1509"/>
      <c r="G357" s="1509"/>
      <c r="H357" s="1509"/>
      <c r="I357" s="1509"/>
      <c r="J357" s="1509"/>
      <c r="K357" s="1509"/>
      <c r="L357" s="1509"/>
      <c r="M357" s="1509"/>
      <c r="N357" s="1509"/>
      <c r="O357" s="1509"/>
      <c r="P357" s="1509"/>
      <c r="Q357" s="1509"/>
      <c r="R357" s="1509"/>
      <c r="S357" s="1509"/>
      <c r="T357" s="1509"/>
      <c r="U357" s="1509"/>
      <c r="V357" s="52"/>
    </row>
    <row r="358" spans="1:32" s="141" customFormat="1" ht="27" customHeight="1">
      <c r="A358" s="1244" t="s">
        <v>9</v>
      </c>
      <c r="B358" s="1244"/>
      <c r="C358" s="1244"/>
      <c r="D358" s="1244"/>
      <c r="E358" s="1245" t="s">
        <v>80</v>
      </c>
      <c r="F358" s="1246"/>
      <c r="G358" s="1246"/>
      <c r="H358" s="1246"/>
      <c r="I358" s="1247"/>
      <c r="J358" s="1245" t="str">
        <f>"Realisasi                      TA "&amp;'2.ISIAN DATA SKPD'!D11&amp;""</f>
        <v>Realisasi                      TA 2017</v>
      </c>
      <c r="K358" s="1246"/>
      <c r="L358" s="1246"/>
      <c r="M358" s="1246"/>
      <c r="N358" s="1247"/>
      <c r="O358" s="1245" t="str">
        <f>"Realisasi                   TA "&amp;'2.ISIAN DATA SKPD'!D12&amp;""</f>
        <v>Realisasi                   TA 2016</v>
      </c>
      <c r="P358" s="1246"/>
      <c r="Q358" s="1246"/>
      <c r="R358" s="1246"/>
      <c r="S358" s="1247"/>
      <c r="T358" s="1345" t="s">
        <v>1207</v>
      </c>
      <c r="U358" s="1346"/>
      <c r="V358" s="1041" t="s">
        <v>1673</v>
      </c>
      <c r="W358" s="1042"/>
      <c r="X358" s="1042"/>
      <c r="Y358" s="1043" t="s">
        <v>1674</v>
      </c>
      <c r="Z358" s="1044"/>
      <c r="AA358" s="1044"/>
      <c r="AB358" s="1044" t="s">
        <v>1673</v>
      </c>
      <c r="AC358" s="1043" t="s">
        <v>1675</v>
      </c>
      <c r="AD358" s="1044"/>
      <c r="AE358" s="1044"/>
      <c r="AF358" s="1044"/>
    </row>
    <row r="359" spans="1:32" s="141" customFormat="1" ht="15.75" customHeight="1">
      <c r="A359" s="1365" t="str">
        <f>'3.LRA'!C38</f>
        <v>BELANJA OPERASI</v>
      </c>
      <c r="B359" s="1365"/>
      <c r="C359" s="1365"/>
      <c r="D359" s="1365"/>
      <c r="E359" s="1239">
        <f>'3.LRA'!D38</f>
        <v>3470534508</v>
      </c>
      <c r="F359" s="1240"/>
      <c r="G359" s="1240"/>
      <c r="H359" s="1240"/>
      <c r="I359" s="1241"/>
      <c r="J359" s="1239">
        <f>'3.LRA'!E38</f>
        <v>3075286406</v>
      </c>
      <c r="K359" s="1240"/>
      <c r="L359" s="1240"/>
      <c r="M359" s="1240"/>
      <c r="N359" s="1241"/>
      <c r="O359" s="1239">
        <f>'3.LRA'!I38</f>
        <v>4832372492</v>
      </c>
      <c r="P359" s="1240"/>
      <c r="Q359" s="1240"/>
      <c r="R359" s="1240"/>
      <c r="S359" s="1241"/>
      <c r="T359" s="1242">
        <f>(J359-O359)/O359*100</f>
        <v>-36.36073355083572</v>
      </c>
      <c r="U359" s="1243"/>
      <c r="V359" s="1041">
        <f>J359/E359*100</f>
        <v>88.6113190608275</v>
      </c>
      <c r="W359" s="1042"/>
      <c r="X359" s="1042"/>
      <c r="Y359" s="1045">
        <f>E359-J359</f>
        <v>395248102</v>
      </c>
      <c r="Z359" s="1046"/>
      <c r="AA359" s="1046"/>
      <c r="AB359" s="1046"/>
      <c r="AC359" s="1045">
        <f>J359-O359</f>
        <v>-1757086086</v>
      </c>
      <c r="AD359" s="1046"/>
      <c r="AE359" s="1046"/>
      <c r="AF359" s="1046"/>
    </row>
    <row r="360" spans="1:32" s="141" customFormat="1" ht="15.75" customHeight="1">
      <c r="A360" s="1365" t="str">
        <f>'3.LRA'!C68</f>
        <v>BELANJA MODAL</v>
      </c>
      <c r="B360" s="1365"/>
      <c r="C360" s="1365"/>
      <c r="D360" s="1365"/>
      <c r="E360" s="1239">
        <f>'3.LRA'!D68</f>
        <v>6301500000</v>
      </c>
      <c r="F360" s="1240"/>
      <c r="G360" s="1240"/>
      <c r="H360" s="1240"/>
      <c r="I360" s="1241"/>
      <c r="J360" s="1239">
        <f>'3.LRA'!E68</f>
        <v>6256955760</v>
      </c>
      <c r="K360" s="1240"/>
      <c r="L360" s="1240"/>
      <c r="M360" s="1240"/>
      <c r="N360" s="1241"/>
      <c r="O360" s="1239">
        <f>'3.LRA'!I68</f>
        <v>2465841000</v>
      </c>
      <c r="P360" s="1240"/>
      <c r="Q360" s="1240"/>
      <c r="R360" s="1240"/>
      <c r="S360" s="1241"/>
      <c r="T360" s="1242">
        <f>(J360-O360)/O360*100</f>
        <v>153.74530474592646</v>
      </c>
      <c r="U360" s="1243"/>
      <c r="V360" s="1041">
        <f>J360/E360*100</f>
        <v>99.29311687693406</v>
      </c>
      <c r="W360" s="1042"/>
      <c r="X360" s="1042"/>
      <c r="Y360" s="1045">
        <f>E360-J360</f>
        <v>44544240</v>
      </c>
      <c r="Z360" s="1046"/>
      <c r="AA360" s="1046"/>
      <c r="AB360" s="1046"/>
      <c r="AC360" s="1045">
        <f>J360-O360</f>
        <v>3791114760</v>
      </c>
      <c r="AD360" s="1046"/>
      <c r="AE360" s="1046"/>
      <c r="AF360" s="1046"/>
    </row>
    <row r="361" spans="1:32" s="141" customFormat="1" ht="15.75" customHeight="1">
      <c r="A361" s="1365" t="str">
        <f>'3.LRA'!C97</f>
        <v>BELANJA TAK TERDUGA</v>
      </c>
      <c r="B361" s="1365"/>
      <c r="C361" s="1365"/>
      <c r="D361" s="1365"/>
      <c r="E361" s="1239">
        <f>'3.LRA'!D97</f>
        <v>0</v>
      </c>
      <c r="F361" s="1240"/>
      <c r="G361" s="1240"/>
      <c r="H361" s="1240"/>
      <c r="I361" s="1241"/>
      <c r="J361" s="1239">
        <f>'3.LRA'!E97</f>
        <v>0</v>
      </c>
      <c r="K361" s="1240"/>
      <c r="L361" s="1240"/>
      <c r="M361" s="1240"/>
      <c r="N361" s="1241"/>
      <c r="O361" s="1239">
        <f>'3.LRA'!I97</f>
        <v>0</v>
      </c>
      <c r="P361" s="1240"/>
      <c r="Q361" s="1240"/>
      <c r="R361" s="1240"/>
      <c r="S361" s="1241"/>
      <c r="T361" s="1242">
        <v>0</v>
      </c>
      <c r="U361" s="1243"/>
      <c r="V361" s="1041" t="e">
        <f>J361/E361*100</f>
        <v>#DIV/0!</v>
      </c>
      <c r="W361" s="1042"/>
      <c r="X361" s="1042"/>
      <c r="Y361" s="1045">
        <f>E361-J361</f>
        <v>0</v>
      </c>
      <c r="Z361" s="1046"/>
      <c r="AA361" s="1046"/>
      <c r="AB361" s="1046"/>
      <c r="AC361" s="1045">
        <f>J361-O361</f>
        <v>0</v>
      </c>
      <c r="AD361" s="1046"/>
      <c r="AE361" s="1046"/>
      <c r="AF361" s="1046"/>
    </row>
    <row r="362" spans="1:32" s="141" customFormat="1" ht="15.75" customHeight="1">
      <c r="A362" s="1365" t="str">
        <f>'3.LRA'!C98</f>
        <v>TRANSFER</v>
      </c>
      <c r="B362" s="1365"/>
      <c r="C362" s="1365"/>
      <c r="D362" s="1365"/>
      <c r="E362" s="1239">
        <f>'3.LRA'!D98</f>
        <v>0</v>
      </c>
      <c r="F362" s="1240"/>
      <c r="G362" s="1240"/>
      <c r="H362" s="1240"/>
      <c r="I362" s="1241"/>
      <c r="J362" s="1239">
        <f>'3.LRA'!E98</f>
        <v>0</v>
      </c>
      <c r="K362" s="1240"/>
      <c r="L362" s="1240"/>
      <c r="M362" s="1240"/>
      <c r="N362" s="1241"/>
      <c r="O362" s="1239">
        <f>'3.LRA'!I98</f>
        <v>0</v>
      </c>
      <c r="P362" s="1240"/>
      <c r="Q362" s="1240"/>
      <c r="R362" s="1240"/>
      <c r="S362" s="1241"/>
      <c r="T362" s="1242">
        <v>0</v>
      </c>
      <c r="U362" s="1243"/>
      <c r="V362" s="1041" t="e">
        <f>J362/E362*100</f>
        <v>#DIV/0!</v>
      </c>
      <c r="W362" s="1042"/>
      <c r="X362" s="1042"/>
      <c r="Y362" s="1045">
        <f>E362-J362</f>
        <v>0</v>
      </c>
      <c r="Z362" s="1046"/>
      <c r="AA362" s="1046"/>
      <c r="AB362" s="1046"/>
      <c r="AC362" s="1045">
        <f>J362-O362</f>
        <v>0</v>
      </c>
      <c r="AD362" s="1046"/>
      <c r="AE362" s="1046"/>
      <c r="AF362" s="1046"/>
    </row>
    <row r="363" spans="1:32" s="141" customFormat="1" ht="15.75" customHeight="1">
      <c r="A363" s="1561" t="s">
        <v>10</v>
      </c>
      <c r="B363" s="1561"/>
      <c r="C363" s="1561"/>
      <c r="D363" s="1561"/>
      <c r="E363" s="1391">
        <f>SUM(E359:I362)</f>
        <v>9772034508</v>
      </c>
      <c r="F363" s="1392"/>
      <c r="G363" s="1392"/>
      <c r="H363" s="1392"/>
      <c r="I363" s="1393"/>
      <c r="J363" s="1391">
        <f>SUM(J359:N362)</f>
        <v>9332242166</v>
      </c>
      <c r="K363" s="1392"/>
      <c r="L363" s="1392"/>
      <c r="M363" s="1392"/>
      <c r="N363" s="1393"/>
      <c r="O363" s="1517">
        <f>SUM(O359:S362)</f>
        <v>7298213492</v>
      </c>
      <c r="P363" s="1518"/>
      <c r="Q363" s="1518"/>
      <c r="R363" s="1518"/>
      <c r="S363" s="1519"/>
      <c r="T363" s="1507">
        <f>(J363-O363)/O363*100</f>
        <v>27.870227093652687</v>
      </c>
      <c r="U363" s="1508"/>
      <c r="V363" s="1041">
        <f>J363/E363*100</f>
        <v>95.49948026032902</v>
      </c>
      <c r="W363" s="1042"/>
      <c r="X363" s="1042"/>
      <c r="Y363" s="1045">
        <f>E363-J363</f>
        <v>439792342</v>
      </c>
      <c r="Z363" s="1046"/>
      <c r="AA363" s="1046"/>
      <c r="AB363" s="1046"/>
      <c r="AC363" s="1045">
        <f>J363-O363</f>
        <v>2034028674</v>
      </c>
      <c r="AD363" s="1046"/>
      <c r="AE363" s="1046"/>
      <c r="AF363" s="1046"/>
    </row>
    <row r="364" spans="1:22" s="141" customFormat="1" ht="9" customHeight="1">
      <c r="A364" s="650"/>
      <c r="B364" s="67"/>
      <c r="C364" s="67"/>
      <c r="D364" s="67"/>
      <c r="E364" s="67"/>
      <c r="F364" s="67"/>
      <c r="G364" s="67"/>
      <c r="H364" s="67"/>
      <c r="I364" s="67"/>
      <c r="J364" s="68"/>
      <c r="K364" s="69"/>
      <c r="L364" s="69"/>
      <c r="M364" s="69"/>
      <c r="N364" s="68"/>
      <c r="O364" s="69"/>
      <c r="P364" s="69"/>
      <c r="Q364" s="69"/>
      <c r="R364" s="70"/>
      <c r="S364" s="70"/>
      <c r="T364" s="70"/>
      <c r="U364" s="70"/>
      <c r="V364" s="52"/>
    </row>
    <row r="365" spans="1:22" s="141" customFormat="1" ht="67.5" customHeight="1">
      <c r="A365" s="650"/>
      <c r="B365" s="992" t="str">
        <f>"Realisasi Belanja TA "&amp;'2.ISIAN DATA SKPD'!D11&amp;" sebesar Rp. "&amp;FIXED(J363)&amp;" atau mencapai  "&amp;FIXED(V363)&amp;"% dari anggaran belanja yang telah ditetapkan sebesar Rp. "&amp;FIXED(E363)&amp;"  kurang dari anggaran sebesar Rp. "&amp;FIXED(Y363)&amp;"."</f>
        <v>Realisasi Belanja TA 2017 sebesar Rp. 9,332,242,166.00 atau mencapai  95.50% dari anggaran belanja yang telah ditetapkan sebesar Rp. 9,772,034,508.00  kurang dari anggaran sebesar Rp. 439,792,342.00.</v>
      </c>
      <c r="C365" s="992"/>
      <c r="D365" s="992"/>
      <c r="E365" s="992"/>
      <c r="F365" s="992"/>
      <c r="G365" s="992"/>
      <c r="H365" s="992"/>
      <c r="I365" s="992"/>
      <c r="J365" s="992"/>
      <c r="K365" s="992"/>
      <c r="L365" s="992"/>
      <c r="M365" s="992"/>
      <c r="N365" s="992"/>
      <c r="O365" s="992"/>
      <c r="P365" s="992"/>
      <c r="Q365" s="992"/>
      <c r="R365" s="992"/>
      <c r="S365" s="992"/>
      <c r="T365" s="992"/>
      <c r="U365" s="992"/>
      <c r="V365" s="52"/>
    </row>
    <row r="366" spans="1:22" s="141" customFormat="1" ht="50.25" customHeight="1">
      <c r="A366" s="650"/>
      <c r="B366" s="992" t="str">
        <f>"Bila dibandingkan dengan TA "&amp;'2.ISIAN DATA SKPD'!D12&amp;", Realisasi Belanja TA "&amp;'2.ISIAN DATA SKPD'!D11&amp;" mengalami kenaikan sebesar Rp. "&amp;FIXED(AC363)&amp;"  atau "&amp;FIXED(T363)&amp;"%. Hal ini disebabkan antara lain:"</f>
        <v>Bila dibandingkan dengan TA 2016, Realisasi Belanja TA 2017 mengalami kenaikan sebesar Rp. 2,034,028,674.00  atau 27.87%. Hal ini disebabkan antara lain:</v>
      </c>
      <c r="C366" s="992"/>
      <c r="D366" s="992"/>
      <c r="E366" s="992"/>
      <c r="F366" s="992"/>
      <c r="G366" s="992"/>
      <c r="H366" s="992"/>
      <c r="I366" s="992"/>
      <c r="J366" s="992"/>
      <c r="K366" s="992"/>
      <c r="L366" s="992"/>
      <c r="M366" s="992"/>
      <c r="N366" s="992"/>
      <c r="O366" s="992"/>
      <c r="P366" s="992"/>
      <c r="Q366" s="992"/>
      <c r="R366" s="992"/>
      <c r="S366" s="992"/>
      <c r="T366" s="992"/>
      <c r="U366" s="992"/>
      <c r="V366" s="52"/>
    </row>
    <row r="367" spans="1:22" s="141" customFormat="1" ht="18" customHeight="1">
      <c r="A367" s="650"/>
      <c r="B367" s="669" t="s">
        <v>15</v>
      </c>
      <c r="C367" s="1337" t="s">
        <v>1742</v>
      </c>
      <c r="D367" s="1337"/>
      <c r="E367" s="1337"/>
      <c r="F367" s="1337"/>
      <c r="G367" s="1337"/>
      <c r="H367" s="1337"/>
      <c r="I367" s="1337"/>
      <c r="J367" s="1337"/>
      <c r="K367" s="1337"/>
      <c r="L367" s="1337"/>
      <c r="M367" s="1337"/>
      <c r="N367" s="1337"/>
      <c r="O367" s="1337"/>
      <c r="P367" s="1337"/>
      <c r="Q367" s="1337"/>
      <c r="R367" s="1337"/>
      <c r="S367" s="1337"/>
      <c r="T367" s="1337"/>
      <c r="U367" s="706"/>
      <c r="V367" s="52"/>
    </row>
    <row r="368" spans="1:22" s="141" customFormat="1" ht="18" customHeight="1">
      <c r="A368" s="650"/>
      <c r="B368" s="669" t="s">
        <v>16</v>
      </c>
      <c r="C368" s="1337" t="s">
        <v>1743</v>
      </c>
      <c r="D368" s="1337"/>
      <c r="E368" s="1337"/>
      <c r="F368" s="1337"/>
      <c r="G368" s="1337"/>
      <c r="H368" s="1337"/>
      <c r="I368" s="1337"/>
      <c r="J368" s="1337"/>
      <c r="K368" s="1337"/>
      <c r="L368" s="1337"/>
      <c r="M368" s="1337"/>
      <c r="N368" s="1337"/>
      <c r="O368" s="1337"/>
      <c r="P368" s="1337"/>
      <c r="Q368" s="1337"/>
      <c r="R368" s="1337"/>
      <c r="S368" s="1337"/>
      <c r="T368" s="1337"/>
      <c r="U368" s="70"/>
      <c r="V368" s="52"/>
    </row>
    <row r="369" spans="1:22" s="141" customFormat="1" ht="18" customHeight="1" hidden="1">
      <c r="A369" s="650"/>
      <c r="B369" s="705"/>
      <c r="C369" s="708"/>
      <c r="D369" s="708"/>
      <c r="E369" s="708"/>
      <c r="F369" s="708"/>
      <c r="G369" s="708"/>
      <c r="H369" s="708"/>
      <c r="I369" s="708"/>
      <c r="J369" s="708"/>
      <c r="K369" s="708"/>
      <c r="L369" s="708"/>
      <c r="M369" s="708"/>
      <c r="N369" s="708"/>
      <c r="O369" s="708"/>
      <c r="P369" s="708"/>
      <c r="Q369" s="708"/>
      <c r="R369" s="708"/>
      <c r="S369" s="708"/>
      <c r="T369" s="708"/>
      <c r="U369" s="70"/>
      <c r="V369" s="52"/>
    </row>
    <row r="370" spans="1:22" s="141" customFormat="1" ht="18" customHeight="1" hidden="1">
      <c r="A370" s="650"/>
      <c r="B370" s="705"/>
      <c r="C370" s="708"/>
      <c r="D370" s="708"/>
      <c r="E370" s="708"/>
      <c r="F370" s="708"/>
      <c r="G370" s="708"/>
      <c r="H370" s="708"/>
      <c r="I370" s="708"/>
      <c r="J370" s="708"/>
      <c r="K370" s="708"/>
      <c r="L370" s="708"/>
      <c r="M370" s="708"/>
      <c r="N370" s="708"/>
      <c r="O370" s="708"/>
      <c r="P370" s="708"/>
      <c r="Q370" s="708"/>
      <c r="R370" s="708"/>
      <c r="S370" s="708"/>
      <c r="T370" s="708"/>
      <c r="U370" s="70"/>
      <c r="V370" s="52"/>
    </row>
    <row r="371" spans="1:22" s="141" customFormat="1" ht="18" customHeight="1" hidden="1">
      <c r="A371" s="650"/>
      <c r="B371" s="705"/>
      <c r="C371" s="708"/>
      <c r="D371" s="708"/>
      <c r="E371" s="708"/>
      <c r="F371" s="708"/>
      <c r="G371" s="708"/>
      <c r="H371" s="708"/>
      <c r="I371" s="708"/>
      <c r="J371" s="708"/>
      <c r="K371" s="708"/>
      <c r="L371" s="708"/>
      <c r="M371" s="708"/>
      <c r="N371" s="708"/>
      <c r="O371" s="708"/>
      <c r="P371" s="708"/>
      <c r="Q371" s="708"/>
      <c r="R371" s="708"/>
      <c r="S371" s="708"/>
      <c r="T371" s="708"/>
      <c r="U371" s="70"/>
      <c r="V371" s="52"/>
    </row>
    <row r="372" spans="1:22" s="141" customFormat="1" ht="18" customHeight="1" hidden="1">
      <c r="A372" s="650"/>
      <c r="B372" s="705"/>
      <c r="C372" s="708"/>
      <c r="D372" s="708"/>
      <c r="E372" s="708"/>
      <c r="F372" s="708"/>
      <c r="G372" s="708"/>
      <c r="H372" s="708"/>
      <c r="I372" s="708"/>
      <c r="J372" s="708"/>
      <c r="K372" s="708"/>
      <c r="L372" s="708"/>
      <c r="M372" s="708"/>
      <c r="N372" s="708"/>
      <c r="O372" s="708"/>
      <c r="P372" s="708"/>
      <c r="Q372" s="708"/>
      <c r="R372" s="708"/>
      <c r="S372" s="708"/>
      <c r="T372" s="708"/>
      <c r="U372" s="70"/>
      <c r="V372" s="52"/>
    </row>
    <row r="373" spans="1:22" s="141" customFormat="1" ht="18" customHeight="1" hidden="1">
      <c r="A373" s="650"/>
      <c r="B373" s="705"/>
      <c r="C373" s="708"/>
      <c r="D373" s="708"/>
      <c r="E373" s="708"/>
      <c r="F373" s="708"/>
      <c r="G373" s="708"/>
      <c r="H373" s="708"/>
      <c r="I373" s="708"/>
      <c r="J373" s="708"/>
      <c r="K373" s="708"/>
      <c r="L373" s="708"/>
      <c r="M373" s="708"/>
      <c r="N373" s="708"/>
      <c r="O373" s="708"/>
      <c r="P373" s="708"/>
      <c r="Q373" s="708"/>
      <c r="R373" s="708"/>
      <c r="S373" s="708"/>
      <c r="T373" s="708"/>
      <c r="U373" s="70"/>
      <c r="V373" s="52"/>
    </row>
    <row r="374" spans="1:22" s="141" customFormat="1" ht="18" customHeight="1" hidden="1">
      <c r="A374" s="650"/>
      <c r="B374" s="705"/>
      <c r="C374" s="708"/>
      <c r="D374" s="708"/>
      <c r="E374" s="708"/>
      <c r="F374" s="708"/>
      <c r="G374" s="708"/>
      <c r="H374" s="708"/>
      <c r="I374" s="708"/>
      <c r="J374" s="708"/>
      <c r="K374" s="708"/>
      <c r="L374" s="708"/>
      <c r="M374" s="708"/>
      <c r="N374" s="708"/>
      <c r="O374" s="708"/>
      <c r="P374" s="708"/>
      <c r="Q374" s="708"/>
      <c r="R374" s="708"/>
      <c r="S374" s="708"/>
      <c r="T374" s="708"/>
      <c r="U374" s="70"/>
      <c r="V374" s="52"/>
    </row>
    <row r="375" spans="1:22" s="141" customFormat="1" ht="18" customHeight="1" hidden="1">
      <c r="A375" s="650"/>
      <c r="B375" s="707"/>
      <c r="C375" s="708"/>
      <c r="D375" s="708"/>
      <c r="E375" s="708"/>
      <c r="F375" s="708"/>
      <c r="G375" s="708"/>
      <c r="H375" s="708"/>
      <c r="I375" s="708"/>
      <c r="J375" s="708"/>
      <c r="K375" s="708"/>
      <c r="L375" s="708"/>
      <c r="M375" s="708"/>
      <c r="N375" s="708"/>
      <c r="O375" s="708"/>
      <c r="P375" s="708"/>
      <c r="Q375" s="708"/>
      <c r="R375" s="708"/>
      <c r="S375" s="708"/>
      <c r="T375" s="708"/>
      <c r="U375" s="70"/>
      <c r="V375" s="52"/>
    </row>
    <row r="376" spans="1:22" s="141" customFormat="1" ht="4.5" customHeight="1">
      <c r="A376" s="650"/>
      <c r="B376" s="669"/>
      <c r="C376" s="708"/>
      <c r="D376" s="708"/>
      <c r="E376" s="708"/>
      <c r="F376" s="708"/>
      <c r="G376" s="708"/>
      <c r="H376" s="708"/>
      <c r="I376" s="708"/>
      <c r="J376" s="708"/>
      <c r="K376" s="708"/>
      <c r="L376" s="708"/>
      <c r="M376" s="708"/>
      <c r="N376" s="708"/>
      <c r="O376" s="708"/>
      <c r="P376" s="708"/>
      <c r="Q376" s="708"/>
      <c r="R376" s="708"/>
      <c r="S376" s="708"/>
      <c r="T376" s="708"/>
      <c r="U376" s="70"/>
      <c r="V376" s="52"/>
    </row>
    <row r="377" spans="1:22" s="141" customFormat="1" ht="33" customHeight="1">
      <c r="A377" s="650"/>
      <c r="B377" s="992" t="str">
        <f>"Berikut uraian lebih lanjut realisasi belanja "&amp;'2.ISIAN DATA SKPD'!D2&amp;" TA "&amp;'2.ISIAN DATA SKPD'!D11&amp;"."</f>
        <v>Berikut uraian lebih lanjut realisasi belanja Kecamatan Kaliwiro TA 2017.</v>
      </c>
      <c r="C377" s="992"/>
      <c r="D377" s="992"/>
      <c r="E377" s="992"/>
      <c r="F377" s="992"/>
      <c r="G377" s="992"/>
      <c r="H377" s="992"/>
      <c r="I377" s="992"/>
      <c r="J377" s="992"/>
      <c r="K377" s="992"/>
      <c r="L377" s="992"/>
      <c r="M377" s="992"/>
      <c r="N377" s="992"/>
      <c r="O377" s="992"/>
      <c r="P377" s="992"/>
      <c r="Q377" s="992"/>
      <c r="R377" s="992"/>
      <c r="S377" s="992"/>
      <c r="T377" s="992"/>
      <c r="U377" s="992"/>
      <c r="V377" s="52"/>
    </row>
    <row r="378" spans="1:22" s="141" customFormat="1" ht="16.5" customHeight="1">
      <c r="A378" s="1516"/>
      <c r="B378" s="653" t="s">
        <v>7</v>
      </c>
      <c r="C378" s="653" t="s">
        <v>243</v>
      </c>
      <c r="D378" s="699"/>
      <c r="E378" s="653"/>
      <c r="F378" s="653"/>
      <c r="G378" s="653"/>
      <c r="H378" s="115"/>
      <c r="I378" s="52"/>
      <c r="J378" s="52"/>
      <c r="K378" s="52"/>
      <c r="L378" s="38"/>
      <c r="M378" s="38"/>
      <c r="N378" s="38"/>
      <c r="O378" s="38"/>
      <c r="P378" s="38"/>
      <c r="Q378" s="38"/>
      <c r="R378" s="38"/>
      <c r="S378" s="38"/>
      <c r="T378" s="655"/>
      <c r="U378" s="655"/>
      <c r="V378" s="52"/>
    </row>
    <row r="379" spans="1:22" s="141" customFormat="1" ht="58.5" customHeight="1">
      <c r="A379" s="1516"/>
      <c r="B379" s="653"/>
      <c r="C379" s="1432" t="str">
        <f>"Belanja Operasi TA "&amp;'2.ISIAN DATA SKPD'!D11&amp;" dapat direalisasi sebesar Rp. "&amp;(FIXED('Calk Umum'!J385)&amp;" atau mencapai "&amp;FIXED(V384)&amp;"% dari anggaran yang telah ditetapkan sebesar Rp. "&amp;FIXED(E385)&amp;", kurang dari anggaran sebesar Rp. "&amp;FIXED(Y384)&amp;".")</f>
        <v>Belanja Operasi TA 2017 dapat direalisasi sebesar Rp. 3,075,286,406.00 atau mencapai 95.65% dari anggaran yang telah ditetapkan sebesar Rp. 3,470,534,508.00, kurang dari anggaran sebesar Rp. 24,113,185.00.</v>
      </c>
      <c r="D379" s="1432"/>
      <c r="E379" s="1432"/>
      <c r="F379" s="1432"/>
      <c r="G379" s="1432"/>
      <c r="H379" s="1432"/>
      <c r="I379" s="1432"/>
      <c r="J379" s="1432"/>
      <c r="K379" s="1432"/>
      <c r="L379" s="1432"/>
      <c r="M379" s="1432"/>
      <c r="N379" s="1432"/>
      <c r="O379" s="1432"/>
      <c r="P379" s="1432"/>
      <c r="Q379" s="1432"/>
      <c r="R379" s="1432"/>
      <c r="S379" s="1432"/>
      <c r="T379" s="1432"/>
      <c r="U379" s="1432"/>
      <c r="V379" s="52"/>
    </row>
    <row r="380" spans="1:22" s="141" customFormat="1" ht="27.75" customHeight="1">
      <c r="A380" s="114"/>
      <c r="C380" s="1226" t="str">
        <f>"Anggaran dan Realisasi Belanja Operasi TA "&amp;'2.ISIAN DATA SKPD'!D11&amp;" serta TA "&amp;'2.ISIAN DATA SKPD'!D12&amp;" sebagai berikut :"</f>
        <v>Anggaran dan Realisasi Belanja Operasi TA 2017 serta TA 2016 sebagai berikut :</v>
      </c>
      <c r="D380" s="1226"/>
      <c r="E380" s="1226"/>
      <c r="F380" s="1226"/>
      <c r="G380" s="1226"/>
      <c r="H380" s="1226"/>
      <c r="I380" s="1226"/>
      <c r="J380" s="1226"/>
      <c r="K380" s="1226"/>
      <c r="L380" s="1226"/>
      <c r="M380" s="1226"/>
      <c r="N380" s="1226"/>
      <c r="O380" s="1226"/>
      <c r="P380" s="1226"/>
      <c r="Q380" s="1226"/>
      <c r="R380" s="1226"/>
      <c r="S380" s="1226"/>
      <c r="T380" s="1226"/>
      <c r="U380" s="1226"/>
      <c r="V380" s="52"/>
    </row>
    <row r="381" spans="1:22" s="141" customFormat="1" ht="5.25" customHeight="1">
      <c r="A381" s="114"/>
      <c r="B381" s="1091"/>
      <c r="C381" s="1091"/>
      <c r="D381" s="1091"/>
      <c r="E381" s="1091"/>
      <c r="F381" s="1091"/>
      <c r="G381" s="1091"/>
      <c r="H381" s="1091"/>
      <c r="I381" s="1091"/>
      <c r="J381" s="1091"/>
      <c r="K381" s="1091"/>
      <c r="L381" s="1091"/>
      <c r="M381" s="1091"/>
      <c r="N381" s="1091"/>
      <c r="O381" s="1091"/>
      <c r="P381" s="1091"/>
      <c r="Q381" s="1091"/>
      <c r="R381" s="1091"/>
      <c r="S381" s="1091"/>
      <c r="T381" s="1091"/>
      <c r="U381" s="702"/>
      <c r="V381" s="52"/>
    </row>
    <row r="382" spans="1:32" s="141" customFormat="1" ht="30" customHeight="1">
      <c r="A382" s="1333" t="s">
        <v>243</v>
      </c>
      <c r="B382" s="1522"/>
      <c r="C382" s="1522"/>
      <c r="D382" s="1334"/>
      <c r="E382" s="1245" t="s">
        <v>80</v>
      </c>
      <c r="F382" s="1246"/>
      <c r="G382" s="1246"/>
      <c r="H382" s="1246"/>
      <c r="I382" s="1247"/>
      <c r="J382" s="1245" t="str">
        <f>J358</f>
        <v>Realisasi                      TA 2017</v>
      </c>
      <c r="K382" s="1246"/>
      <c r="L382" s="1246"/>
      <c r="M382" s="1246"/>
      <c r="N382" s="1247"/>
      <c r="O382" s="1245" t="str">
        <f>O358</f>
        <v>Realisasi                   TA 2016</v>
      </c>
      <c r="P382" s="1246"/>
      <c r="Q382" s="1246"/>
      <c r="R382" s="1246"/>
      <c r="S382" s="1247"/>
      <c r="T382" s="1345" t="s">
        <v>1207</v>
      </c>
      <c r="U382" s="1346"/>
      <c r="V382" s="1041" t="s">
        <v>1673</v>
      </c>
      <c r="W382" s="1042"/>
      <c r="X382" s="1042"/>
      <c r="Y382" s="1043" t="s">
        <v>1674</v>
      </c>
      <c r="Z382" s="1044"/>
      <c r="AA382" s="1044"/>
      <c r="AB382" s="1044" t="s">
        <v>1673</v>
      </c>
      <c r="AC382" s="1043" t="s">
        <v>1675</v>
      </c>
      <c r="AD382" s="1044"/>
      <c r="AE382" s="1044"/>
      <c r="AF382" s="1044"/>
    </row>
    <row r="383" spans="1:32" s="141" customFormat="1" ht="20.25" customHeight="1">
      <c r="A383" s="1356" t="str">
        <f>'3.LRA'!C39</f>
        <v>Belanja Pegawai</v>
      </c>
      <c r="B383" s="1356"/>
      <c r="C383" s="1356"/>
      <c r="D383" s="1356"/>
      <c r="E383" s="1190">
        <f>'3.LRA'!D39</f>
        <v>2916540508</v>
      </c>
      <c r="F383" s="1349"/>
      <c r="G383" s="1349"/>
      <c r="H383" s="1349"/>
      <c r="I383" s="1350"/>
      <c r="J383" s="1505">
        <f>'3.LRA'!E39</f>
        <v>2545405591</v>
      </c>
      <c r="K383" s="1506"/>
      <c r="L383" s="1506"/>
      <c r="M383" s="1506"/>
      <c r="N383" s="1172"/>
      <c r="O383" s="1190">
        <f>'3.LRA'!I39</f>
        <v>2374611800</v>
      </c>
      <c r="P383" s="1349"/>
      <c r="Q383" s="1349"/>
      <c r="R383" s="1349"/>
      <c r="S383" s="1350"/>
      <c r="T383" s="1405">
        <f>(J383-O383)/O383*100</f>
        <v>7.192493147722083</v>
      </c>
      <c r="U383" s="1406"/>
      <c r="V383" s="1041">
        <f>J383/E383*100</f>
        <v>87.27482385442664</v>
      </c>
      <c r="W383" s="1042"/>
      <c r="X383" s="1042"/>
      <c r="Y383" s="1045">
        <f>E383-J383</f>
        <v>371134917</v>
      </c>
      <c r="Z383" s="1046"/>
      <c r="AA383" s="1046"/>
      <c r="AB383" s="1046"/>
      <c r="AC383" s="1047">
        <f>J383-O383</f>
        <v>170793791</v>
      </c>
      <c r="AD383" s="1048"/>
      <c r="AE383" s="1048"/>
      <c r="AF383" s="1048"/>
    </row>
    <row r="384" spans="1:32" s="141" customFormat="1" ht="20.25" customHeight="1">
      <c r="A384" s="1356" t="str">
        <f>'3.LRA'!C47</f>
        <v>Belanja Barang </v>
      </c>
      <c r="B384" s="1356"/>
      <c r="C384" s="1356"/>
      <c r="D384" s="1356"/>
      <c r="E384" s="1190">
        <f>'3.LRA'!D47</f>
        <v>553994000</v>
      </c>
      <c r="F384" s="1349"/>
      <c r="G384" s="1349"/>
      <c r="H384" s="1349"/>
      <c r="I384" s="1350"/>
      <c r="J384" s="1505">
        <f>'3.LRA'!E47</f>
        <v>529880815</v>
      </c>
      <c r="K384" s="1506"/>
      <c r="L384" s="1506"/>
      <c r="M384" s="1506"/>
      <c r="N384" s="1172"/>
      <c r="O384" s="1505">
        <f>'3.LRA'!I47</f>
        <v>2457760692</v>
      </c>
      <c r="P384" s="1506"/>
      <c r="Q384" s="1506"/>
      <c r="R384" s="1506"/>
      <c r="S384" s="1172"/>
      <c r="T384" s="1405">
        <f>(J384-O384)/O384*100</f>
        <v>-78.44050412537072</v>
      </c>
      <c r="U384" s="1406"/>
      <c r="V384" s="1041">
        <f>J384/E384*100</f>
        <v>95.64739239053131</v>
      </c>
      <c r="W384" s="1042"/>
      <c r="X384" s="1042"/>
      <c r="Y384" s="1045">
        <f>E384-J384</f>
        <v>24113185</v>
      </c>
      <c r="Z384" s="1046"/>
      <c r="AA384" s="1046"/>
      <c r="AB384" s="1046"/>
      <c r="AC384" s="1047">
        <f>J384-O384</f>
        <v>-1927879877</v>
      </c>
      <c r="AD384" s="1048"/>
      <c r="AE384" s="1048"/>
      <c r="AF384" s="1048"/>
    </row>
    <row r="385" spans="1:32" s="141" customFormat="1" ht="20.25" customHeight="1">
      <c r="A385" s="1523" t="s">
        <v>10</v>
      </c>
      <c r="B385" s="1523"/>
      <c r="C385" s="1523"/>
      <c r="D385" s="1523"/>
      <c r="E385" s="1206">
        <f>SUM(E383:I384)</f>
        <v>3470534508</v>
      </c>
      <c r="F385" s="1165"/>
      <c r="G385" s="1165"/>
      <c r="H385" s="1165"/>
      <c r="I385" s="1166"/>
      <c r="J385" s="1206">
        <f>SUM(J383:N384)</f>
        <v>3075286406</v>
      </c>
      <c r="K385" s="1165"/>
      <c r="L385" s="1165"/>
      <c r="M385" s="1165"/>
      <c r="N385" s="1166"/>
      <c r="O385" s="1206">
        <f>SUM(O383:S384)</f>
        <v>4832372492</v>
      </c>
      <c r="P385" s="1165"/>
      <c r="Q385" s="1165"/>
      <c r="R385" s="1165"/>
      <c r="S385" s="1166"/>
      <c r="T385" s="1520">
        <f>(J385-O385)/O385*100</f>
        <v>-36.36073355083572</v>
      </c>
      <c r="U385" s="1521"/>
      <c r="V385" s="1041">
        <f>J385/E385*100</f>
        <v>88.6113190608275</v>
      </c>
      <c r="W385" s="1042"/>
      <c r="X385" s="1042"/>
      <c r="Y385" s="1045">
        <f>E385-J385</f>
        <v>395248102</v>
      </c>
      <c r="Z385" s="1046"/>
      <c r="AA385" s="1046"/>
      <c r="AB385" s="1046"/>
      <c r="AC385" s="1047">
        <f>J385-O385</f>
        <v>-1757086086</v>
      </c>
      <c r="AD385" s="1048"/>
      <c r="AE385" s="1048"/>
      <c r="AF385" s="1048"/>
    </row>
    <row r="386" spans="1:22" s="141" customFormat="1" ht="6.75" customHeight="1">
      <c r="A386" s="114"/>
      <c r="B386" s="61"/>
      <c r="C386" s="61"/>
      <c r="D386" s="61"/>
      <c r="J386" s="709"/>
      <c r="K386" s="710"/>
      <c r="L386" s="710"/>
      <c r="M386" s="710"/>
      <c r="N386" s="710"/>
      <c r="O386" s="709"/>
      <c r="P386" s="710"/>
      <c r="Q386" s="710"/>
      <c r="R386" s="710"/>
      <c r="S386" s="710"/>
      <c r="T386" s="711"/>
      <c r="U386" s="712"/>
      <c r="V386" s="52"/>
    </row>
    <row r="387" spans="1:22" s="141" customFormat="1" ht="31.5" customHeight="1">
      <c r="A387" s="114"/>
      <c r="B387" s="61"/>
      <c r="C387" s="1432" t="str">
        <f>"Bila dibandingkan dengan TA "&amp;'2.ISIAN DATA SKPD'!D12&amp;", Realisasi Belanja Operasi TA "&amp;'2.ISIAN DATA SKPD'!D11&amp;" mengalami kenaikan sebesar Rp. "&amp;FIXED(AC385)&amp;"  atau "&amp;FIXED(T385)&amp;"%."</f>
        <v>Bila dibandingkan dengan TA 2016, Realisasi Belanja Operasi TA 2017 mengalami kenaikan sebesar Rp. -1,757,086,086.00  atau -36.36%.</v>
      </c>
      <c r="D387" s="1432"/>
      <c r="E387" s="1432"/>
      <c r="F387" s="1432"/>
      <c r="G387" s="1432"/>
      <c r="H387" s="1432"/>
      <c r="I387" s="1432"/>
      <c r="J387" s="1432"/>
      <c r="K387" s="1432"/>
      <c r="L387" s="1432"/>
      <c r="M387" s="1432"/>
      <c r="N387" s="1432"/>
      <c r="O387" s="1432"/>
      <c r="P387" s="1432"/>
      <c r="Q387" s="1432"/>
      <c r="R387" s="1432"/>
      <c r="S387" s="1432"/>
      <c r="T387" s="1432"/>
      <c r="U387" s="1432"/>
      <c r="V387" s="52"/>
    </row>
    <row r="388" spans="1:22" s="141" customFormat="1" ht="16.5" customHeight="1">
      <c r="A388" s="114"/>
      <c r="C388" s="1226" t="s">
        <v>259</v>
      </c>
      <c r="D388" s="1226"/>
      <c r="E388" s="1226"/>
      <c r="F388" s="1226"/>
      <c r="G388" s="1226"/>
      <c r="H388" s="1226"/>
      <c r="I388" s="1226"/>
      <c r="J388" s="1226"/>
      <c r="K388" s="1226"/>
      <c r="L388" s="1226"/>
      <c r="M388" s="1226"/>
      <c r="N388" s="1226"/>
      <c r="O388" s="1226"/>
      <c r="P388" s="1226"/>
      <c r="Q388" s="1226"/>
      <c r="R388" s="1226"/>
      <c r="S388" s="1226"/>
      <c r="T388" s="1226"/>
      <c r="U388" s="1226"/>
      <c r="V388" s="52"/>
    </row>
    <row r="389" spans="1:22" s="141" customFormat="1" ht="17.25" customHeight="1">
      <c r="A389" s="114"/>
      <c r="C389" s="1524" t="s">
        <v>1514</v>
      </c>
      <c r="D389" s="1524"/>
      <c r="E389" s="1524"/>
      <c r="F389" s="1524"/>
      <c r="G389" s="1524"/>
      <c r="H389" s="1524"/>
      <c r="I389" s="1524"/>
      <c r="J389" s="1524"/>
      <c r="K389" s="1524"/>
      <c r="L389" s="1524"/>
      <c r="M389" s="1524"/>
      <c r="N389" s="1524"/>
      <c r="O389" s="1524"/>
      <c r="P389" s="1524"/>
      <c r="Q389" s="1524"/>
      <c r="R389" s="1524"/>
      <c r="S389" s="1524"/>
      <c r="T389" s="1524"/>
      <c r="U389" s="1524"/>
      <c r="V389" s="52"/>
    </row>
    <row r="390" spans="1:22" s="141" customFormat="1" ht="105" customHeight="1">
      <c r="A390" s="650"/>
      <c r="D390" s="1056" t="s">
        <v>121</v>
      </c>
      <c r="E390" s="1056"/>
      <c r="F390" s="1056"/>
      <c r="G390" s="1056"/>
      <c r="H390" s="1056"/>
      <c r="I390" s="1056"/>
      <c r="J390" s="1056"/>
      <c r="K390" s="1056"/>
      <c r="L390" s="1056"/>
      <c r="M390" s="1056"/>
      <c r="N390" s="1056"/>
      <c r="O390" s="1056"/>
      <c r="P390" s="1056"/>
      <c r="Q390" s="1056"/>
      <c r="R390" s="1056"/>
      <c r="S390" s="1056"/>
      <c r="T390" s="1056"/>
      <c r="U390" s="1056"/>
      <c r="V390" s="52"/>
    </row>
    <row r="391" spans="1:22" s="141" customFormat="1" ht="63" customHeight="1">
      <c r="A391" s="650"/>
      <c r="D391" s="1056" t="str">
        <f>"Belanja Pegawai pada pos Belanja Operasi TA. "&amp;'2.ISIAN DATA SKPD'!D11&amp;" dapat direalisasikan sebesar Rp. "&amp;FIXED(J402)&amp;" atau "&amp;FIXED(V402)&amp;"% dari anggaran sebesar Rp. "&amp;FIXED(E402)&amp;" kurang dari anggaran sebesar Rp. "&amp;FIXED(Y402)&amp;""</f>
        <v>Belanja Pegawai pada pos Belanja Operasi TA. 2017 dapat direalisasikan sebesar Rp. 2,545,405,591.00 atau 87.27% dari anggaran sebesar Rp. 2,916,540,508.00 kurang dari anggaran sebesar Rp. 371,134,917.00</v>
      </c>
      <c r="E391" s="1056"/>
      <c r="F391" s="1056"/>
      <c r="G391" s="1056"/>
      <c r="H391" s="1056"/>
      <c r="I391" s="1056"/>
      <c r="J391" s="1056"/>
      <c r="K391" s="1056"/>
      <c r="L391" s="1056"/>
      <c r="M391" s="1056"/>
      <c r="N391" s="1056"/>
      <c r="O391" s="1056"/>
      <c r="P391" s="1056"/>
      <c r="Q391" s="1056"/>
      <c r="R391" s="1056"/>
      <c r="S391" s="1056"/>
      <c r="T391" s="1056"/>
      <c r="U391" s="1056"/>
      <c r="V391" s="52"/>
    </row>
    <row r="392" spans="1:22" s="141" customFormat="1" ht="7.5" customHeight="1">
      <c r="A392" s="650"/>
      <c r="D392" s="626"/>
      <c r="E392" s="626"/>
      <c r="F392" s="626"/>
      <c r="G392" s="626"/>
      <c r="H392" s="626"/>
      <c r="I392" s="626"/>
      <c r="J392" s="626"/>
      <c r="K392" s="626"/>
      <c r="L392" s="626"/>
      <c r="M392" s="626"/>
      <c r="N392" s="626"/>
      <c r="O392" s="626"/>
      <c r="P392" s="626"/>
      <c r="Q392" s="626"/>
      <c r="R392" s="626"/>
      <c r="S392" s="626"/>
      <c r="T392" s="626"/>
      <c r="U392" s="626"/>
      <c r="V392" s="52"/>
    </row>
    <row r="393" spans="1:22" s="141" customFormat="1" ht="22.5" customHeight="1">
      <c r="A393" s="650"/>
      <c r="B393" s="1088" t="str">
        <f>"Perbandingan Belanja Pegawai TA "&amp;'2.ISIAN DATA SKPD'!D11&amp;" dan "&amp;'2.ISIAN DATA SKPD'!D12&amp;""</f>
        <v>Perbandingan Belanja Pegawai TA 2017 dan 2016</v>
      </c>
      <c r="C393" s="1088"/>
      <c r="D393" s="1088"/>
      <c r="E393" s="1088"/>
      <c r="F393" s="1088"/>
      <c r="G393" s="1088"/>
      <c r="H393" s="1088"/>
      <c r="I393" s="1088"/>
      <c r="J393" s="1088"/>
      <c r="K393" s="1088"/>
      <c r="L393" s="1088"/>
      <c r="M393" s="1088"/>
      <c r="N393" s="1088"/>
      <c r="O393" s="1088"/>
      <c r="P393" s="1088"/>
      <c r="Q393" s="1088"/>
      <c r="R393" s="1088"/>
      <c r="S393" s="1088"/>
      <c r="T393" s="1088"/>
      <c r="U393" s="1088"/>
      <c r="V393" s="52"/>
    </row>
    <row r="394" spans="1:32" s="141" customFormat="1" ht="28.5" customHeight="1">
      <c r="A394" s="1244" t="s">
        <v>23</v>
      </c>
      <c r="B394" s="1244"/>
      <c r="C394" s="1244"/>
      <c r="D394" s="1244"/>
      <c r="E394" s="1246" t="s">
        <v>80</v>
      </c>
      <c r="F394" s="1246"/>
      <c r="G394" s="1246"/>
      <c r="H394" s="1246"/>
      <c r="I394" s="1247"/>
      <c r="J394" s="1245" t="str">
        <f>J358</f>
        <v>Realisasi                      TA 2017</v>
      </c>
      <c r="K394" s="1246"/>
      <c r="L394" s="1246"/>
      <c r="M394" s="1246"/>
      <c r="N394" s="1247"/>
      <c r="O394" s="1245" t="str">
        <f>O358</f>
        <v>Realisasi                   TA 2016</v>
      </c>
      <c r="P394" s="1246"/>
      <c r="Q394" s="1246"/>
      <c r="R394" s="1246"/>
      <c r="S394" s="1247"/>
      <c r="T394" s="1345" t="s">
        <v>1207</v>
      </c>
      <c r="U394" s="1346"/>
      <c r="V394" s="1041" t="s">
        <v>1673</v>
      </c>
      <c r="W394" s="1042"/>
      <c r="X394" s="1042"/>
      <c r="Y394" s="1043" t="s">
        <v>1674</v>
      </c>
      <c r="Z394" s="1044"/>
      <c r="AA394" s="1044"/>
      <c r="AB394" s="1044" t="s">
        <v>1673</v>
      </c>
      <c r="AC394" s="1043" t="s">
        <v>1675</v>
      </c>
      <c r="AD394" s="1044"/>
      <c r="AE394" s="1044"/>
      <c r="AF394" s="1044"/>
    </row>
    <row r="395" spans="1:32" s="141" customFormat="1" ht="27.75" customHeight="1">
      <c r="A395" s="1356" t="str">
        <f>'3.LRA'!C40</f>
        <v> Gaji dan Tunjangan Pegawai</v>
      </c>
      <c r="B395" s="1356"/>
      <c r="C395" s="1356"/>
      <c r="D395" s="1356"/>
      <c r="E395" s="1240">
        <f>'3.LRA'!D40</f>
        <v>1941360508</v>
      </c>
      <c r="F395" s="1240"/>
      <c r="G395" s="1240"/>
      <c r="H395" s="1240"/>
      <c r="I395" s="1241"/>
      <c r="J395" s="1240">
        <f>'3.LRA'!E40</f>
        <v>1682902591</v>
      </c>
      <c r="K395" s="1240"/>
      <c r="L395" s="1240"/>
      <c r="M395" s="1240"/>
      <c r="N395" s="1241"/>
      <c r="O395" s="1437">
        <f>'3.LRA'!I40</f>
        <v>1730087386</v>
      </c>
      <c r="P395" s="1438"/>
      <c r="Q395" s="1438"/>
      <c r="R395" s="1438"/>
      <c r="S395" s="1439"/>
      <c r="T395" s="1363">
        <f>(J395-O395)/O395*100</f>
        <v>-2.7273070355765254</v>
      </c>
      <c r="U395" s="1364"/>
      <c r="V395" s="1041">
        <f>J395/E395*100</f>
        <v>86.68676343549068</v>
      </c>
      <c r="W395" s="1042"/>
      <c r="X395" s="1042"/>
      <c r="Y395" s="1045">
        <f aca="true" t="shared" si="9" ref="Y395:Y402">E395-J395</f>
        <v>258457917</v>
      </c>
      <c r="Z395" s="1046"/>
      <c r="AA395" s="1046"/>
      <c r="AB395" s="1046"/>
      <c r="AC395" s="1047">
        <f aca="true" t="shared" si="10" ref="AC395:AC402">J395-O395</f>
        <v>-47184795</v>
      </c>
      <c r="AD395" s="1048"/>
      <c r="AE395" s="1048"/>
      <c r="AF395" s="1048"/>
    </row>
    <row r="396" spans="1:32" s="141" customFormat="1" ht="15.75" customHeight="1">
      <c r="A396" s="1356" t="str">
        <f>'3.LRA'!C41</f>
        <v>Tambahan Penghasilan PNS</v>
      </c>
      <c r="B396" s="1356"/>
      <c r="C396" s="1356"/>
      <c r="D396" s="1356"/>
      <c r="E396" s="1240">
        <f>'3.LRA'!D41</f>
        <v>903600000</v>
      </c>
      <c r="F396" s="1240"/>
      <c r="G396" s="1240"/>
      <c r="H396" s="1240"/>
      <c r="I396" s="1241"/>
      <c r="J396" s="1240">
        <f>'3.LRA'!E41</f>
        <v>791358000</v>
      </c>
      <c r="K396" s="1240"/>
      <c r="L396" s="1240"/>
      <c r="M396" s="1240"/>
      <c r="N396" s="1241"/>
      <c r="O396" s="1437">
        <f>'3.LRA'!I41</f>
        <v>615784414</v>
      </c>
      <c r="P396" s="1438"/>
      <c r="Q396" s="1438"/>
      <c r="R396" s="1438"/>
      <c r="S396" s="1439"/>
      <c r="T396" s="1363">
        <f aca="true" t="shared" si="11" ref="T396:T402">(J396-O396)/O396*100</f>
        <v>28.512184135923906</v>
      </c>
      <c r="U396" s="1364"/>
      <c r="V396" s="1041">
        <f aca="true" t="shared" si="12" ref="V396:V402">J396/E396*100</f>
        <v>87.57835325365207</v>
      </c>
      <c r="W396" s="1042"/>
      <c r="X396" s="1042"/>
      <c r="Y396" s="1045">
        <f t="shared" si="9"/>
        <v>112242000</v>
      </c>
      <c r="Z396" s="1046"/>
      <c r="AA396" s="1046"/>
      <c r="AB396" s="1046"/>
      <c r="AC396" s="1047">
        <f t="shared" si="10"/>
        <v>175573586</v>
      </c>
      <c r="AD396" s="1048"/>
      <c r="AE396" s="1048"/>
      <c r="AF396" s="1048"/>
    </row>
    <row r="397" spans="1:32" s="141" customFormat="1" ht="14.25" customHeight="1">
      <c r="A397" s="1356" t="str">
        <f>'3.LRA'!C42</f>
        <v> Insentif Pemungutan Pajak</v>
      </c>
      <c r="B397" s="1356"/>
      <c r="C397" s="1356"/>
      <c r="D397" s="1356"/>
      <c r="E397" s="1240">
        <f>'3.LRA'!D42</f>
        <v>0</v>
      </c>
      <c r="F397" s="1240"/>
      <c r="G397" s="1240"/>
      <c r="H397" s="1240"/>
      <c r="I397" s="1241"/>
      <c r="J397" s="1240">
        <f>'3.LRA'!E42</f>
        <v>0</v>
      </c>
      <c r="K397" s="1240"/>
      <c r="L397" s="1240"/>
      <c r="M397" s="1240"/>
      <c r="N397" s="1241"/>
      <c r="O397" s="1437">
        <f>'3.LRA'!I42</f>
        <v>0</v>
      </c>
      <c r="P397" s="1438"/>
      <c r="Q397" s="1438"/>
      <c r="R397" s="1438"/>
      <c r="S397" s="1439"/>
      <c r="T397" s="1363">
        <v>0</v>
      </c>
      <c r="U397" s="1364"/>
      <c r="V397" s="1041" t="e">
        <f t="shared" si="12"/>
        <v>#DIV/0!</v>
      </c>
      <c r="W397" s="1042"/>
      <c r="X397" s="1042"/>
      <c r="Y397" s="1045">
        <f t="shared" si="9"/>
        <v>0</v>
      </c>
      <c r="Z397" s="1046"/>
      <c r="AA397" s="1046"/>
      <c r="AB397" s="1046"/>
      <c r="AC397" s="1047">
        <f t="shared" si="10"/>
        <v>0</v>
      </c>
      <c r="AD397" s="1048"/>
      <c r="AE397" s="1048"/>
      <c r="AF397" s="1048"/>
    </row>
    <row r="398" spans="1:32" s="713" customFormat="1" ht="15" customHeight="1">
      <c r="A398" s="1356" t="str">
        <f>'3.LRA'!C43</f>
        <v>Insentif Pemungutan Retribusi</v>
      </c>
      <c r="B398" s="1356"/>
      <c r="C398" s="1356"/>
      <c r="D398" s="1356"/>
      <c r="E398" s="1240">
        <f>'3.LRA'!D43</f>
        <v>435000</v>
      </c>
      <c r="F398" s="1240"/>
      <c r="G398" s="1240"/>
      <c r="H398" s="1240"/>
      <c r="I398" s="1241"/>
      <c r="J398" s="1240">
        <f>'3.LRA'!E43</f>
        <v>0</v>
      </c>
      <c r="K398" s="1240"/>
      <c r="L398" s="1240"/>
      <c r="M398" s="1240"/>
      <c r="N398" s="1241"/>
      <c r="O398" s="1437">
        <f>'3.LRA'!I43</f>
        <v>0</v>
      </c>
      <c r="P398" s="1438"/>
      <c r="Q398" s="1438"/>
      <c r="R398" s="1438"/>
      <c r="S398" s="1439"/>
      <c r="T398" s="1363">
        <v>0</v>
      </c>
      <c r="U398" s="1364"/>
      <c r="V398" s="1041">
        <f t="shared" si="12"/>
        <v>0</v>
      </c>
      <c r="W398" s="1042"/>
      <c r="X398" s="1042"/>
      <c r="Y398" s="1045">
        <f t="shared" si="9"/>
        <v>435000</v>
      </c>
      <c r="Z398" s="1046"/>
      <c r="AA398" s="1046"/>
      <c r="AB398" s="1046"/>
      <c r="AC398" s="1047">
        <f t="shared" si="10"/>
        <v>0</v>
      </c>
      <c r="AD398" s="1048"/>
      <c r="AE398" s="1048"/>
      <c r="AF398" s="1048"/>
    </row>
    <row r="399" spans="1:32" s="141" customFormat="1" ht="13.5" customHeight="1">
      <c r="A399" s="1356" t="str">
        <f>'3.LRA'!C44</f>
        <v> Honor Non PNS</v>
      </c>
      <c r="B399" s="1356"/>
      <c r="C399" s="1356"/>
      <c r="D399" s="1356"/>
      <c r="E399" s="1240">
        <f>'3.LRA'!D44</f>
        <v>68145000</v>
      </c>
      <c r="F399" s="1240"/>
      <c r="G399" s="1240"/>
      <c r="H399" s="1240"/>
      <c r="I399" s="1241"/>
      <c r="J399" s="1240">
        <f>'3.LRA'!E44</f>
        <v>68145000</v>
      </c>
      <c r="K399" s="1240"/>
      <c r="L399" s="1240"/>
      <c r="M399" s="1240"/>
      <c r="N399" s="1241"/>
      <c r="O399" s="1437">
        <f>'3.LRA'!I44</f>
        <v>25740000</v>
      </c>
      <c r="P399" s="1438"/>
      <c r="Q399" s="1438"/>
      <c r="R399" s="1438"/>
      <c r="S399" s="1439"/>
      <c r="T399" s="1363">
        <f t="shared" si="11"/>
        <v>164.74358974358972</v>
      </c>
      <c r="U399" s="1364"/>
      <c r="V399" s="1041">
        <f t="shared" si="12"/>
        <v>100</v>
      </c>
      <c r="W399" s="1042"/>
      <c r="X399" s="1042"/>
      <c r="Y399" s="1045">
        <f t="shared" si="9"/>
        <v>0</v>
      </c>
      <c r="Z399" s="1046"/>
      <c r="AA399" s="1046"/>
      <c r="AB399" s="1046"/>
      <c r="AC399" s="1047">
        <f t="shared" si="10"/>
        <v>42405000</v>
      </c>
      <c r="AD399" s="1048"/>
      <c r="AE399" s="1048"/>
      <c r="AF399" s="1048"/>
    </row>
    <row r="400" spans="1:32" s="141" customFormat="1" ht="15" customHeight="1">
      <c r="A400" s="1356" t="str">
        <f>'3.LRA'!C45</f>
        <v>Uang Lembur</v>
      </c>
      <c r="B400" s="1356"/>
      <c r="C400" s="1356"/>
      <c r="D400" s="1356"/>
      <c r="E400" s="1240">
        <f>'3.LRA'!D45</f>
        <v>3000000</v>
      </c>
      <c r="F400" s="1240"/>
      <c r="G400" s="1240"/>
      <c r="H400" s="1240"/>
      <c r="I400" s="1241"/>
      <c r="J400" s="1240">
        <f>'3.LRA'!E45</f>
        <v>3000000</v>
      </c>
      <c r="K400" s="1240"/>
      <c r="L400" s="1240"/>
      <c r="M400" s="1240"/>
      <c r="N400" s="1241"/>
      <c r="O400" s="1437">
        <f>'3.LRA'!I45</f>
        <v>3000000</v>
      </c>
      <c r="P400" s="1438"/>
      <c r="Q400" s="1438"/>
      <c r="R400" s="1438"/>
      <c r="S400" s="1439"/>
      <c r="T400" s="1363">
        <f t="shared" si="11"/>
        <v>0</v>
      </c>
      <c r="U400" s="1364"/>
      <c r="V400" s="1041">
        <f t="shared" si="12"/>
        <v>100</v>
      </c>
      <c r="W400" s="1042"/>
      <c r="X400" s="1042"/>
      <c r="Y400" s="1045">
        <f t="shared" si="9"/>
        <v>0</v>
      </c>
      <c r="Z400" s="1046"/>
      <c r="AA400" s="1046"/>
      <c r="AB400" s="1046"/>
      <c r="AC400" s="1047">
        <f t="shared" si="10"/>
        <v>0</v>
      </c>
      <c r="AD400" s="1048"/>
      <c r="AE400" s="1048"/>
      <c r="AF400" s="1048"/>
    </row>
    <row r="401" spans="1:32" s="141" customFormat="1" ht="14.25" customHeight="1">
      <c r="A401" s="1356" t="str">
        <f>'3.LRA'!C46</f>
        <v>Belanja Pegawai BLUD</v>
      </c>
      <c r="B401" s="1356"/>
      <c r="C401" s="1356"/>
      <c r="D401" s="1356"/>
      <c r="E401" s="1240">
        <f>'3.LRA'!D46</f>
        <v>0</v>
      </c>
      <c r="F401" s="1240"/>
      <c r="G401" s="1240"/>
      <c r="H401" s="1240"/>
      <c r="I401" s="1241"/>
      <c r="J401" s="1240">
        <f>'3.LRA'!E46</f>
        <v>0</v>
      </c>
      <c r="K401" s="1240"/>
      <c r="L401" s="1240"/>
      <c r="M401" s="1240"/>
      <c r="N401" s="1241"/>
      <c r="O401" s="1437">
        <f>'3.LRA'!I46</f>
        <v>0</v>
      </c>
      <c r="P401" s="1438"/>
      <c r="Q401" s="1438"/>
      <c r="R401" s="1438"/>
      <c r="S401" s="1439"/>
      <c r="T401" s="1363">
        <v>0</v>
      </c>
      <c r="U401" s="1364"/>
      <c r="V401" s="1041" t="e">
        <f t="shared" si="12"/>
        <v>#DIV/0!</v>
      </c>
      <c r="W401" s="1042"/>
      <c r="X401" s="1042"/>
      <c r="Y401" s="1045">
        <f t="shared" si="9"/>
        <v>0</v>
      </c>
      <c r="Z401" s="1046"/>
      <c r="AA401" s="1046"/>
      <c r="AB401" s="1046"/>
      <c r="AC401" s="1047">
        <f t="shared" si="10"/>
        <v>0</v>
      </c>
      <c r="AD401" s="1048"/>
      <c r="AE401" s="1048"/>
      <c r="AF401" s="1048"/>
    </row>
    <row r="402" spans="1:32" s="141" customFormat="1" ht="22.5" customHeight="1">
      <c r="A402" s="1245" t="s">
        <v>10</v>
      </c>
      <c r="B402" s="1246"/>
      <c r="C402" s="1246"/>
      <c r="D402" s="1247"/>
      <c r="E402" s="1391">
        <f>SUM(E395:I401)</f>
        <v>2916540508</v>
      </c>
      <c r="F402" s="1392"/>
      <c r="G402" s="1392"/>
      <c r="H402" s="1392"/>
      <c r="I402" s="1393"/>
      <c r="J402" s="1391">
        <f>SUM(J395:N401)</f>
        <v>2545405591</v>
      </c>
      <c r="K402" s="1392"/>
      <c r="L402" s="1392"/>
      <c r="M402" s="1392"/>
      <c r="N402" s="1393"/>
      <c r="O402" s="1517">
        <f>SUM(O395:S401)</f>
        <v>2374611800</v>
      </c>
      <c r="P402" s="1518"/>
      <c r="Q402" s="1518"/>
      <c r="R402" s="1518"/>
      <c r="S402" s="1519"/>
      <c r="T402" s="1389">
        <f t="shared" si="11"/>
        <v>7.192493147722083</v>
      </c>
      <c r="U402" s="1390"/>
      <c r="V402" s="1041">
        <f t="shared" si="12"/>
        <v>87.27482385442664</v>
      </c>
      <c r="W402" s="1042"/>
      <c r="X402" s="1042"/>
      <c r="Y402" s="1045">
        <f t="shared" si="9"/>
        <v>371134917</v>
      </c>
      <c r="Z402" s="1046"/>
      <c r="AA402" s="1046"/>
      <c r="AB402" s="1046"/>
      <c r="AC402" s="1047">
        <f t="shared" si="10"/>
        <v>170793791</v>
      </c>
      <c r="AD402" s="1048"/>
      <c r="AE402" s="1048"/>
      <c r="AF402" s="1048"/>
    </row>
    <row r="403" spans="1:22" s="141" customFormat="1" ht="4.5" customHeight="1">
      <c r="A403" s="71"/>
      <c r="B403" s="71"/>
      <c r="C403" s="71"/>
      <c r="D403" s="71"/>
      <c r="E403" s="95"/>
      <c r="F403" s="69"/>
      <c r="G403" s="69"/>
      <c r="H403" s="69"/>
      <c r="I403" s="69"/>
      <c r="J403" s="95"/>
      <c r="K403" s="69"/>
      <c r="L403" s="69"/>
      <c r="M403" s="69"/>
      <c r="N403" s="69"/>
      <c r="O403" s="95"/>
      <c r="P403" s="69"/>
      <c r="Q403" s="69"/>
      <c r="R403" s="69"/>
      <c r="S403" s="69"/>
      <c r="T403" s="714"/>
      <c r="U403" s="714"/>
      <c r="V403" s="52"/>
    </row>
    <row r="404" spans="1:22" s="141" customFormat="1" ht="73.5" customHeight="1">
      <c r="A404" s="71"/>
      <c r="B404" s="71"/>
      <c r="C404" s="71"/>
      <c r="D404" s="1056" t="str">
        <f>"Bila dibandingkan dengan TA "&amp;'2.ISIAN DATA SKPD'!D12&amp;", Realisasi Belanja Pegawai TA "&amp;'2.ISIAN DATA SKPD'!D11&amp;" mengalami kenaikan sebesar Rp. "&amp;FIXED(T402)&amp;"  atau "&amp;FIXED(AC402)&amp;"%. Belanja pegawai  ini digunakan antara lain untuk honor, gaji tenaga kontrak maupun gaji pegawai  bukan PNS."</f>
        <v>Bila dibandingkan dengan TA 2016, Realisasi Belanja Pegawai TA 2017 mengalami kenaikan sebesar Rp. 7.19  atau 170,793,791.00%. Belanja pegawai  ini digunakan antara lain untuk honor, gaji tenaga kontrak maupun gaji pegawai  bukan PNS.</v>
      </c>
      <c r="E404" s="1056"/>
      <c r="F404" s="1056"/>
      <c r="G404" s="1056"/>
      <c r="H404" s="1056"/>
      <c r="I404" s="1056"/>
      <c r="J404" s="1056"/>
      <c r="K404" s="1056"/>
      <c r="L404" s="1056"/>
      <c r="M404" s="1056"/>
      <c r="N404" s="1056"/>
      <c r="O404" s="1056"/>
      <c r="P404" s="1056"/>
      <c r="Q404" s="1056"/>
      <c r="R404" s="1056"/>
      <c r="S404" s="1056"/>
      <c r="T404" s="1056"/>
      <c r="U404" s="1056"/>
      <c r="V404" s="52"/>
    </row>
    <row r="405" spans="1:38" s="141" customFormat="1" ht="4.5" customHeight="1">
      <c r="A405" s="71"/>
      <c r="B405" s="71"/>
      <c r="C405" s="71"/>
      <c r="D405" s="694"/>
      <c r="E405" s="694"/>
      <c r="F405" s="694"/>
      <c r="G405" s="694"/>
      <c r="H405" s="694"/>
      <c r="I405" s="694"/>
      <c r="J405" s="694"/>
      <c r="K405" s="694"/>
      <c r="L405" s="694"/>
      <c r="M405" s="694"/>
      <c r="N405" s="694"/>
      <c r="O405" s="694"/>
      <c r="P405" s="694"/>
      <c r="Q405" s="694"/>
      <c r="R405" s="694"/>
      <c r="S405" s="694"/>
      <c r="T405" s="694"/>
      <c r="U405" s="694"/>
      <c r="V405" s="626"/>
      <c r="W405" s="626"/>
      <c r="X405" s="626"/>
      <c r="Y405" s="626"/>
      <c r="Z405" s="626"/>
      <c r="AA405" s="626"/>
      <c r="AB405" s="626"/>
      <c r="AC405" s="626"/>
      <c r="AD405" s="626"/>
      <c r="AE405" s="626"/>
      <c r="AF405" s="626"/>
      <c r="AG405" s="626"/>
      <c r="AH405" s="626"/>
      <c r="AI405" s="626"/>
      <c r="AJ405" s="626"/>
      <c r="AK405" s="626"/>
      <c r="AL405" s="626"/>
    </row>
    <row r="406" spans="1:22" s="141" customFormat="1" ht="15" customHeight="1">
      <c r="A406" s="114"/>
      <c r="C406" s="663" t="s">
        <v>16</v>
      </c>
      <c r="D406" s="115" t="s">
        <v>1729</v>
      </c>
      <c r="E406" s="115"/>
      <c r="F406" s="115"/>
      <c r="G406" s="115"/>
      <c r="H406" s="115"/>
      <c r="I406" s="115"/>
      <c r="J406" s="115"/>
      <c r="K406" s="115"/>
      <c r="L406" s="38"/>
      <c r="M406" s="38"/>
      <c r="N406" s="38"/>
      <c r="O406" s="38"/>
      <c r="P406" s="38"/>
      <c r="Q406" s="38"/>
      <c r="R406" s="38"/>
      <c r="S406" s="38"/>
      <c r="T406" s="655"/>
      <c r="U406" s="655"/>
      <c r="V406" s="52"/>
    </row>
    <row r="407" spans="1:22" s="141" customFormat="1" ht="46.5" customHeight="1">
      <c r="A407" s="114"/>
      <c r="D407" s="1056" t="str">
        <f>"Belanja barang TA. "&amp;'2.ISIAN DATA SKPD'!D11&amp;" dapat direalisasikan sebesar Rp. "&amp;FIXED(J431)&amp;" atau mencapai "&amp;FIXED(V431)&amp;"% dari anggaran yang telah ditetapkan sebesar Rp. "&amp;FIXED(E431)&amp;" atau kurang dari anggaran sebesar Rp. "&amp;FIXED(Y431)&amp;""</f>
        <v>Belanja barang TA. 2017 dapat direalisasikan sebesar Rp. 529,880,815.00 atau mencapai 95.65% dari anggaran yang telah ditetapkan sebesar Rp. 553,994,000.00 atau kurang dari anggaran sebesar Rp. 24,113,185.00</v>
      </c>
      <c r="E407" s="1056"/>
      <c r="F407" s="1056"/>
      <c r="G407" s="1056"/>
      <c r="H407" s="1056"/>
      <c r="I407" s="1056"/>
      <c r="J407" s="1056"/>
      <c r="K407" s="1056"/>
      <c r="L407" s="1056"/>
      <c r="M407" s="1056"/>
      <c r="N407" s="1056"/>
      <c r="O407" s="1056"/>
      <c r="P407" s="1056"/>
      <c r="Q407" s="1056"/>
      <c r="R407" s="1056"/>
      <c r="S407" s="1056"/>
      <c r="T407" s="1056"/>
      <c r="U407" s="1056"/>
      <c r="V407" s="52"/>
    </row>
    <row r="408" spans="1:22" s="141" customFormat="1" ht="60" customHeight="1">
      <c r="A408" s="650"/>
      <c r="D408" s="1056" t="str">
        <f>"Bila dibandingkan dengan TA "&amp;'2.ISIAN DATA SKPD'!D12&amp;", Realisasi belanja barang TA "&amp;'2.ISIAN DATA SKPD'!D11&amp;" mengalami kenaikan sebesar Rp. "&amp;FIXED(AC431)&amp;"  atau "&amp;FIXED(T431)&amp;"%. Realisai belanja barang dan jasa dapat dilihat pada tabel dibawah ini."</f>
        <v>Bila dibandingkan dengan TA 2016, Realisasi belanja barang TA 2017 mengalami kenaikan sebesar Rp. -1,927,879,877.00  atau -78.44%. Realisai belanja barang dan jasa dapat dilihat pada tabel dibawah ini.</v>
      </c>
      <c r="E408" s="1056"/>
      <c r="F408" s="1056"/>
      <c r="G408" s="1056"/>
      <c r="H408" s="1056"/>
      <c r="I408" s="1056"/>
      <c r="J408" s="1056"/>
      <c r="K408" s="1056"/>
      <c r="L408" s="1056"/>
      <c r="M408" s="1056"/>
      <c r="N408" s="1056"/>
      <c r="O408" s="1056"/>
      <c r="P408" s="1056"/>
      <c r="Q408" s="1056"/>
      <c r="R408" s="1056"/>
      <c r="S408" s="1056"/>
      <c r="T408" s="1056"/>
      <c r="U408" s="1056"/>
      <c r="V408" s="52"/>
    </row>
    <row r="409" spans="1:22" s="141" customFormat="1" ht="17.25" customHeight="1">
      <c r="A409" s="650"/>
      <c r="B409" s="1088" t="str">
        <f>"Perbandingan Belanja Barang TA "&amp;'2.ISIAN DATA SKPD'!D11&amp;" dan "&amp;'2.ISIAN DATA SKPD'!D12&amp;""</f>
        <v>Perbandingan Belanja Barang TA 2017 dan 2016</v>
      </c>
      <c r="C409" s="1088"/>
      <c r="D409" s="1088"/>
      <c r="E409" s="1088"/>
      <c r="F409" s="1088"/>
      <c r="G409" s="1088"/>
      <c r="H409" s="1088"/>
      <c r="I409" s="1088"/>
      <c r="J409" s="1088"/>
      <c r="K409" s="1088"/>
      <c r="L409" s="1088"/>
      <c r="M409" s="1088"/>
      <c r="N409" s="1088"/>
      <c r="O409" s="1088"/>
      <c r="P409" s="1088"/>
      <c r="Q409" s="1088"/>
      <c r="R409" s="1088"/>
      <c r="S409" s="1088"/>
      <c r="T409" s="1088"/>
      <c r="U409" s="1088"/>
      <c r="V409" s="52"/>
    </row>
    <row r="410" spans="1:32" s="141" customFormat="1" ht="27.75" customHeight="1">
      <c r="A410" s="1245" t="s">
        <v>1729</v>
      </c>
      <c r="B410" s="1246"/>
      <c r="C410" s="1246"/>
      <c r="D410" s="1246"/>
      <c r="E410" s="1244" t="s">
        <v>80</v>
      </c>
      <c r="F410" s="1244"/>
      <c r="G410" s="1244"/>
      <c r="H410" s="1244"/>
      <c r="I410" s="1244"/>
      <c r="J410" s="1245" t="str">
        <f>J382</f>
        <v>Realisasi                      TA 2017</v>
      </c>
      <c r="K410" s="1246"/>
      <c r="L410" s="1246"/>
      <c r="M410" s="1246"/>
      <c r="N410" s="1247"/>
      <c r="O410" s="1245" t="str">
        <f>O394</f>
        <v>Realisasi                   TA 2016</v>
      </c>
      <c r="P410" s="1246"/>
      <c r="Q410" s="1246"/>
      <c r="R410" s="1246"/>
      <c r="S410" s="1247"/>
      <c r="T410" s="1345" t="s">
        <v>1207</v>
      </c>
      <c r="U410" s="1346"/>
      <c r="V410" s="1041" t="s">
        <v>1673</v>
      </c>
      <c r="W410" s="1042"/>
      <c r="X410" s="1042"/>
      <c r="Y410" s="1043" t="s">
        <v>1674</v>
      </c>
      <c r="Z410" s="1044"/>
      <c r="AA410" s="1044"/>
      <c r="AB410" s="1044" t="s">
        <v>1673</v>
      </c>
      <c r="AC410" s="1043" t="s">
        <v>1675</v>
      </c>
      <c r="AD410" s="1044"/>
      <c r="AE410" s="1044"/>
      <c r="AF410" s="1044"/>
    </row>
    <row r="411" spans="1:32" s="141" customFormat="1" ht="28.5" customHeight="1">
      <c r="A411" s="1356" t="str">
        <f>'3.LRA'!C48</f>
        <v>Belanja Bahan Pakai Habis</v>
      </c>
      <c r="B411" s="1356"/>
      <c r="C411" s="1356"/>
      <c r="D411" s="1356"/>
      <c r="E411" s="1240">
        <f>'3.LRA'!D48</f>
        <v>21956500</v>
      </c>
      <c r="F411" s="1240"/>
      <c r="G411" s="1240"/>
      <c r="H411" s="1240"/>
      <c r="I411" s="1241"/>
      <c r="J411" s="1240">
        <f>'3.LRA'!E48</f>
        <v>21586500</v>
      </c>
      <c r="K411" s="1240"/>
      <c r="L411" s="1240"/>
      <c r="M411" s="1240"/>
      <c r="N411" s="1241"/>
      <c r="O411" s="1239">
        <f>'3.LRA'!I48</f>
        <v>19127425</v>
      </c>
      <c r="P411" s="1240"/>
      <c r="Q411" s="1240"/>
      <c r="R411" s="1240"/>
      <c r="S411" s="1241"/>
      <c r="T411" s="1387">
        <f>(J411-O411)/O411*100</f>
        <v>12.856278354247893</v>
      </c>
      <c r="U411" s="1388"/>
      <c r="V411" s="1041">
        <f>J411/E411*100</f>
        <v>98.314849816683</v>
      </c>
      <c r="W411" s="1042"/>
      <c r="X411" s="1042"/>
      <c r="Y411" s="1045">
        <f>E411-J411</f>
        <v>370000</v>
      </c>
      <c r="Z411" s="1046"/>
      <c r="AA411" s="1046"/>
      <c r="AB411" s="1046"/>
      <c r="AC411" s="1045">
        <f>J411-O411</f>
        <v>2459075</v>
      </c>
      <c r="AD411" s="1046"/>
      <c r="AE411" s="1046"/>
      <c r="AF411" s="1046"/>
    </row>
    <row r="412" spans="1:32" s="141" customFormat="1" ht="18.75" customHeight="1">
      <c r="A412" s="1356" t="str">
        <f>'3.LRA'!C49</f>
        <v>Belanja Bahan/Material</v>
      </c>
      <c r="B412" s="1356"/>
      <c r="C412" s="1356"/>
      <c r="D412" s="1356"/>
      <c r="E412" s="1240">
        <f>'3.LRA'!D49</f>
        <v>11500000</v>
      </c>
      <c r="F412" s="1240"/>
      <c r="G412" s="1240"/>
      <c r="H412" s="1240"/>
      <c r="I412" s="1241"/>
      <c r="J412" s="1240">
        <f>'3.LRA'!E49</f>
        <v>11500000</v>
      </c>
      <c r="K412" s="1240"/>
      <c r="L412" s="1240"/>
      <c r="M412" s="1240"/>
      <c r="N412" s="1241"/>
      <c r="O412" s="1239">
        <f>'3.LRA'!I49</f>
        <v>9000000</v>
      </c>
      <c r="P412" s="1240"/>
      <c r="Q412" s="1240"/>
      <c r="R412" s="1240"/>
      <c r="S412" s="1241"/>
      <c r="T412" s="1387">
        <f aca="true" t="shared" si="13" ref="T412:T431">(J412-O412)/O412*100</f>
        <v>27.77777777777778</v>
      </c>
      <c r="U412" s="1388"/>
      <c r="V412" s="1041">
        <f aca="true" t="shared" si="14" ref="V412:V431">J412/E412*100</f>
        <v>100</v>
      </c>
      <c r="W412" s="1042"/>
      <c r="X412" s="1042"/>
      <c r="Y412" s="1045">
        <f aca="true" t="shared" si="15" ref="Y412:Y431">E412-J412</f>
        <v>0</v>
      </c>
      <c r="Z412" s="1046"/>
      <c r="AA412" s="1046"/>
      <c r="AB412" s="1046"/>
      <c r="AC412" s="1045">
        <f aca="true" t="shared" si="16" ref="AC412:AC431">J412-O412</f>
        <v>2500000</v>
      </c>
      <c r="AD412" s="1046"/>
      <c r="AE412" s="1046"/>
      <c r="AF412" s="1046"/>
    </row>
    <row r="413" spans="1:32" s="141" customFormat="1" ht="18.75" customHeight="1">
      <c r="A413" s="1356" t="str">
        <f>'3.LRA'!C50</f>
        <v>Belanja Jasa Kantor</v>
      </c>
      <c r="B413" s="1356"/>
      <c r="C413" s="1356"/>
      <c r="D413" s="1356"/>
      <c r="E413" s="1240">
        <f>'3.LRA'!D50</f>
        <v>192045000</v>
      </c>
      <c r="F413" s="1240"/>
      <c r="G413" s="1240"/>
      <c r="H413" s="1240"/>
      <c r="I413" s="1241"/>
      <c r="J413" s="1240">
        <f>'3.LRA'!E50</f>
        <v>188006165</v>
      </c>
      <c r="K413" s="1240"/>
      <c r="L413" s="1240"/>
      <c r="M413" s="1240"/>
      <c r="N413" s="1241"/>
      <c r="O413" s="1239">
        <f>'3.LRA'!I50</f>
        <v>173145042</v>
      </c>
      <c r="P413" s="1240"/>
      <c r="Q413" s="1240"/>
      <c r="R413" s="1240"/>
      <c r="S413" s="1241"/>
      <c r="T413" s="1387">
        <f t="shared" si="13"/>
        <v>8.583048540309921</v>
      </c>
      <c r="U413" s="1388"/>
      <c r="V413" s="1041">
        <f t="shared" si="14"/>
        <v>97.89693301049233</v>
      </c>
      <c r="W413" s="1042"/>
      <c r="X413" s="1042"/>
      <c r="Y413" s="1045">
        <f t="shared" si="15"/>
        <v>4038835</v>
      </c>
      <c r="Z413" s="1046"/>
      <c r="AA413" s="1046"/>
      <c r="AB413" s="1046"/>
      <c r="AC413" s="1045">
        <f t="shared" si="16"/>
        <v>14861123</v>
      </c>
      <c r="AD413" s="1046"/>
      <c r="AE413" s="1046"/>
      <c r="AF413" s="1046"/>
    </row>
    <row r="414" spans="1:32" s="141" customFormat="1" ht="30.75" customHeight="1">
      <c r="A414" s="1356" t="str">
        <f>'3.LRA'!C51</f>
        <v>Belanja Perawatan Kendaraan Bermotor</v>
      </c>
      <c r="B414" s="1356"/>
      <c r="C414" s="1356"/>
      <c r="D414" s="1356"/>
      <c r="E414" s="1240">
        <f>'3.LRA'!D51</f>
        <v>26519000</v>
      </c>
      <c r="F414" s="1240"/>
      <c r="G414" s="1240"/>
      <c r="H414" s="1240"/>
      <c r="I414" s="1241"/>
      <c r="J414" s="1240">
        <f>'3.LRA'!E51</f>
        <v>25909650</v>
      </c>
      <c r="K414" s="1240"/>
      <c r="L414" s="1240"/>
      <c r="M414" s="1240"/>
      <c r="N414" s="1241"/>
      <c r="O414" s="1239">
        <f>'3.LRA'!I51</f>
        <v>26517000</v>
      </c>
      <c r="P414" s="1240"/>
      <c r="Q414" s="1240"/>
      <c r="R414" s="1240"/>
      <c r="S414" s="1241"/>
      <c r="T414" s="1387">
        <f t="shared" si="13"/>
        <v>-2.290417468039371</v>
      </c>
      <c r="U414" s="1388"/>
      <c r="V414" s="1041">
        <f t="shared" si="14"/>
        <v>97.70221350729665</v>
      </c>
      <c r="W414" s="1042"/>
      <c r="X414" s="1042"/>
      <c r="Y414" s="1045">
        <f t="shared" si="15"/>
        <v>609350</v>
      </c>
      <c r="Z414" s="1046"/>
      <c r="AA414" s="1046"/>
      <c r="AB414" s="1046"/>
      <c r="AC414" s="1045">
        <f t="shared" si="16"/>
        <v>-607350</v>
      </c>
      <c r="AD414" s="1046"/>
      <c r="AE414" s="1046"/>
      <c r="AF414" s="1046"/>
    </row>
    <row r="415" spans="1:32" s="141" customFormat="1" ht="27" customHeight="1">
      <c r="A415" s="1356" t="str">
        <f>'3.LRA'!C52</f>
        <v>Belanja Cetak dan Penggandaan</v>
      </c>
      <c r="B415" s="1044"/>
      <c r="C415" s="1044"/>
      <c r="D415" s="1044"/>
      <c r="E415" s="1240">
        <f>'3.LRA'!D52</f>
        <v>12305000</v>
      </c>
      <c r="F415" s="1240"/>
      <c r="G415" s="1240"/>
      <c r="H415" s="1240"/>
      <c r="I415" s="1241"/>
      <c r="J415" s="1240">
        <f>'3.LRA'!E52</f>
        <v>12305000</v>
      </c>
      <c r="K415" s="1240"/>
      <c r="L415" s="1240"/>
      <c r="M415" s="1240"/>
      <c r="N415" s="1241"/>
      <c r="O415" s="1239">
        <f>'3.LRA'!I52</f>
        <v>7641225</v>
      </c>
      <c r="P415" s="1240"/>
      <c r="Q415" s="1240"/>
      <c r="R415" s="1240"/>
      <c r="S415" s="1241"/>
      <c r="T415" s="1387">
        <f t="shared" si="13"/>
        <v>61.034389119545615</v>
      </c>
      <c r="U415" s="1388"/>
      <c r="V415" s="1041">
        <f t="shared" si="14"/>
        <v>100</v>
      </c>
      <c r="W415" s="1042"/>
      <c r="X415" s="1042"/>
      <c r="Y415" s="1045">
        <f t="shared" si="15"/>
        <v>0</v>
      </c>
      <c r="Z415" s="1046"/>
      <c r="AA415" s="1046"/>
      <c r="AB415" s="1046"/>
      <c r="AC415" s="1045">
        <f t="shared" si="16"/>
        <v>4663775</v>
      </c>
      <c r="AD415" s="1046"/>
      <c r="AE415" s="1046"/>
      <c r="AF415" s="1046"/>
    </row>
    <row r="416" spans="1:32" s="141" customFormat="1" ht="39.75" customHeight="1">
      <c r="A416" s="1356" t="str">
        <f>'3.LRA'!C53</f>
        <v>Belanja Sewa Rumah/Gedung/ Gudang/Parkir</v>
      </c>
      <c r="B416" s="1044"/>
      <c r="C416" s="1044"/>
      <c r="D416" s="1044"/>
      <c r="E416" s="1240">
        <f>'3.LRA'!D53</f>
        <v>1000000</v>
      </c>
      <c r="F416" s="1240"/>
      <c r="G416" s="1240"/>
      <c r="H416" s="1240"/>
      <c r="I416" s="1241"/>
      <c r="J416" s="1240">
        <f>'3.LRA'!E53</f>
        <v>1000000</v>
      </c>
      <c r="K416" s="1240"/>
      <c r="L416" s="1240"/>
      <c r="M416" s="1240"/>
      <c r="N416" s="1241"/>
      <c r="O416" s="1239">
        <f>'3.LRA'!I53</f>
        <v>0</v>
      </c>
      <c r="P416" s="1240"/>
      <c r="Q416" s="1240"/>
      <c r="R416" s="1240"/>
      <c r="S416" s="1241"/>
      <c r="T416" s="1387">
        <v>0</v>
      </c>
      <c r="U416" s="1388"/>
      <c r="V416" s="1041">
        <f t="shared" si="14"/>
        <v>100</v>
      </c>
      <c r="W416" s="1042"/>
      <c r="X416" s="1042"/>
      <c r="Y416" s="1045">
        <f t="shared" si="15"/>
        <v>0</v>
      </c>
      <c r="Z416" s="1046"/>
      <c r="AA416" s="1046"/>
      <c r="AB416" s="1046"/>
      <c r="AC416" s="1045">
        <f t="shared" si="16"/>
        <v>1000000</v>
      </c>
      <c r="AD416" s="1046"/>
      <c r="AE416" s="1046"/>
      <c r="AF416" s="1046"/>
    </row>
    <row r="417" spans="1:32" s="141" customFormat="1" ht="30.75" customHeight="1">
      <c r="A417" s="1356" t="str">
        <f>'3.LRA'!C54</f>
        <v>Belanja Sewa Sarana Mobilitas</v>
      </c>
      <c r="B417" s="1044"/>
      <c r="C417" s="1044"/>
      <c r="D417" s="1044"/>
      <c r="E417" s="1240">
        <f>'3.LRA'!D54</f>
        <v>5250000</v>
      </c>
      <c r="F417" s="1240"/>
      <c r="G417" s="1240"/>
      <c r="H417" s="1240"/>
      <c r="I417" s="1241"/>
      <c r="J417" s="1240">
        <f>'3.LRA'!E54</f>
        <v>5250000</v>
      </c>
      <c r="K417" s="1240"/>
      <c r="L417" s="1240"/>
      <c r="M417" s="1240"/>
      <c r="N417" s="1241"/>
      <c r="O417" s="1239">
        <f>'3.LRA'!I54</f>
        <v>5500000</v>
      </c>
      <c r="P417" s="1240"/>
      <c r="Q417" s="1240"/>
      <c r="R417" s="1240"/>
      <c r="S417" s="1241"/>
      <c r="T417" s="1387">
        <f t="shared" si="13"/>
        <v>-4.545454545454546</v>
      </c>
      <c r="U417" s="1388"/>
      <c r="V417" s="1041">
        <f t="shared" si="14"/>
        <v>100</v>
      </c>
      <c r="W417" s="1042"/>
      <c r="X417" s="1042"/>
      <c r="Y417" s="1045">
        <f t="shared" si="15"/>
        <v>0</v>
      </c>
      <c r="Z417" s="1046"/>
      <c r="AA417" s="1046"/>
      <c r="AB417" s="1046"/>
      <c r="AC417" s="1045">
        <f t="shared" si="16"/>
        <v>-250000</v>
      </c>
      <c r="AD417" s="1046"/>
      <c r="AE417" s="1046"/>
      <c r="AF417" s="1046"/>
    </row>
    <row r="418" spans="1:32" s="141" customFormat="1" ht="32.25" customHeight="1">
      <c r="A418" s="1356" t="str">
        <f>'3.LRA'!C55</f>
        <v>Belanja Sewa Perlengkapan dan Peralatan Kantor</v>
      </c>
      <c r="B418" s="1044"/>
      <c r="C418" s="1044"/>
      <c r="D418" s="1044"/>
      <c r="E418" s="1240">
        <f>'3.LRA'!D55</f>
        <v>5000000</v>
      </c>
      <c r="F418" s="1240"/>
      <c r="G418" s="1240"/>
      <c r="H418" s="1240"/>
      <c r="I418" s="1241"/>
      <c r="J418" s="1240">
        <f>'3.LRA'!E55</f>
        <v>5000000</v>
      </c>
      <c r="K418" s="1240"/>
      <c r="L418" s="1240"/>
      <c r="M418" s="1240"/>
      <c r="N418" s="1241"/>
      <c r="O418" s="1239">
        <f>'3.LRA'!I55</f>
        <v>2000000</v>
      </c>
      <c r="P418" s="1240"/>
      <c r="Q418" s="1240"/>
      <c r="R418" s="1240"/>
      <c r="S418" s="1241"/>
      <c r="T418" s="1387">
        <f t="shared" si="13"/>
        <v>150</v>
      </c>
      <c r="U418" s="1388"/>
      <c r="V418" s="1041">
        <f t="shared" si="14"/>
        <v>100</v>
      </c>
      <c r="W418" s="1042"/>
      <c r="X418" s="1042"/>
      <c r="Y418" s="1045">
        <f t="shared" si="15"/>
        <v>0</v>
      </c>
      <c r="Z418" s="1046"/>
      <c r="AA418" s="1046"/>
      <c r="AB418" s="1046"/>
      <c r="AC418" s="1045">
        <f t="shared" si="16"/>
        <v>3000000</v>
      </c>
      <c r="AD418" s="1046"/>
      <c r="AE418" s="1046"/>
      <c r="AF418" s="1046"/>
    </row>
    <row r="419" spans="1:32" s="141" customFormat="1" ht="28.5" customHeight="1">
      <c r="A419" s="1356" t="str">
        <f>'3.LRA'!C56</f>
        <v>Belanja Makanan dan Minuman</v>
      </c>
      <c r="B419" s="1044"/>
      <c r="C419" s="1044"/>
      <c r="D419" s="1044"/>
      <c r="E419" s="1240">
        <f>'3.LRA'!D56</f>
        <v>122050000</v>
      </c>
      <c r="F419" s="1240"/>
      <c r="G419" s="1240"/>
      <c r="H419" s="1240"/>
      <c r="I419" s="1241"/>
      <c r="J419" s="1239">
        <f>'3.LRA'!E56</f>
        <v>103600000</v>
      </c>
      <c r="K419" s="1240"/>
      <c r="L419" s="1240"/>
      <c r="M419" s="1240"/>
      <c r="N419" s="1241"/>
      <c r="O419" s="1239">
        <f>'3.LRA'!I56</f>
        <v>53580000</v>
      </c>
      <c r="P419" s="1240"/>
      <c r="Q419" s="1240"/>
      <c r="R419" s="1240"/>
      <c r="S419" s="1241"/>
      <c r="T419" s="1387">
        <f t="shared" si="13"/>
        <v>93.35572974990669</v>
      </c>
      <c r="U419" s="1388"/>
      <c r="V419" s="1041">
        <f t="shared" si="14"/>
        <v>84.88324457189677</v>
      </c>
      <c r="W419" s="1042"/>
      <c r="X419" s="1042"/>
      <c r="Y419" s="1045">
        <f t="shared" si="15"/>
        <v>18450000</v>
      </c>
      <c r="Z419" s="1046"/>
      <c r="AA419" s="1046"/>
      <c r="AB419" s="1046"/>
      <c r="AC419" s="1045">
        <f t="shared" si="16"/>
        <v>50020000</v>
      </c>
      <c r="AD419" s="1046"/>
      <c r="AE419" s="1046"/>
      <c r="AF419" s="1046"/>
    </row>
    <row r="420" spans="1:32" s="141" customFormat="1" ht="30.75" customHeight="1">
      <c r="A420" s="1356" t="str">
        <f>'3.LRA'!C57</f>
        <v>Belanja Pakaian Dinas dan Atributnya</v>
      </c>
      <c r="B420" s="1044"/>
      <c r="C420" s="1044"/>
      <c r="D420" s="1044"/>
      <c r="E420" s="1240">
        <f>'3.LRA'!D57</f>
        <v>25550000</v>
      </c>
      <c r="F420" s="1240"/>
      <c r="G420" s="1240"/>
      <c r="H420" s="1240"/>
      <c r="I420" s="1241"/>
      <c r="J420" s="1239">
        <f>'3.LRA'!E57</f>
        <v>25550000</v>
      </c>
      <c r="K420" s="1240"/>
      <c r="L420" s="1240"/>
      <c r="M420" s="1240"/>
      <c r="N420" s="1241"/>
      <c r="O420" s="1239">
        <f>'3.LRA'!I57</f>
        <v>15750000</v>
      </c>
      <c r="P420" s="1240"/>
      <c r="Q420" s="1240"/>
      <c r="R420" s="1240"/>
      <c r="S420" s="1241"/>
      <c r="T420" s="1387">
        <f t="shared" si="13"/>
        <v>62.22222222222222</v>
      </c>
      <c r="U420" s="1388"/>
      <c r="V420" s="1041">
        <f t="shared" si="14"/>
        <v>100</v>
      </c>
      <c r="W420" s="1042"/>
      <c r="X420" s="1042"/>
      <c r="Y420" s="1045">
        <f t="shared" si="15"/>
        <v>0</v>
      </c>
      <c r="Z420" s="1046"/>
      <c r="AA420" s="1046"/>
      <c r="AB420" s="1046"/>
      <c r="AC420" s="1045">
        <f t="shared" si="16"/>
        <v>9800000</v>
      </c>
      <c r="AD420" s="1046"/>
      <c r="AE420" s="1046"/>
      <c r="AF420" s="1046"/>
    </row>
    <row r="421" spans="1:32" s="141" customFormat="1" ht="18.75" customHeight="1">
      <c r="A421" s="1356" t="str">
        <f>'3.LRA'!C58</f>
        <v>Belanja Perjalanan Dinas</v>
      </c>
      <c r="B421" s="1044"/>
      <c r="C421" s="1044"/>
      <c r="D421" s="1044"/>
      <c r="E421" s="1240">
        <f>'3.LRA'!D58</f>
        <v>21660000</v>
      </c>
      <c r="F421" s="1240"/>
      <c r="G421" s="1240"/>
      <c r="H421" s="1240"/>
      <c r="I421" s="1241"/>
      <c r="J421" s="1239">
        <f>'3.LRA'!E58</f>
        <v>21660000</v>
      </c>
      <c r="K421" s="1240"/>
      <c r="L421" s="1240"/>
      <c r="M421" s="1240"/>
      <c r="N421" s="1241"/>
      <c r="O421" s="1239">
        <f>'3.LRA'!I58</f>
        <v>6860000</v>
      </c>
      <c r="P421" s="1240"/>
      <c r="Q421" s="1240"/>
      <c r="R421" s="1240"/>
      <c r="S421" s="1241"/>
      <c r="T421" s="1387">
        <f t="shared" si="13"/>
        <v>215.74344023323616</v>
      </c>
      <c r="U421" s="1388"/>
      <c r="V421" s="1041">
        <f t="shared" si="14"/>
        <v>100</v>
      </c>
      <c r="W421" s="1042"/>
      <c r="X421" s="1042"/>
      <c r="Y421" s="1045">
        <f t="shared" si="15"/>
        <v>0</v>
      </c>
      <c r="Z421" s="1046"/>
      <c r="AA421" s="1046"/>
      <c r="AB421" s="1046"/>
      <c r="AC421" s="1045">
        <f t="shared" si="16"/>
        <v>14800000</v>
      </c>
      <c r="AD421" s="1046"/>
      <c r="AE421" s="1046"/>
      <c r="AF421" s="1046"/>
    </row>
    <row r="422" spans="1:32" s="141" customFormat="1" ht="18.75" customHeight="1">
      <c r="A422" s="1356" t="str">
        <f>'3.LRA'!C59</f>
        <v>Belanja Pemeliharaan</v>
      </c>
      <c r="B422" s="1044"/>
      <c r="C422" s="1044"/>
      <c r="D422" s="1044"/>
      <c r="E422" s="1240">
        <f>'3.LRA'!D59</f>
        <v>0</v>
      </c>
      <c r="F422" s="1240"/>
      <c r="G422" s="1240"/>
      <c r="H422" s="1240"/>
      <c r="I422" s="1241"/>
      <c r="J422" s="1240">
        <f>'3.LRA'!E59</f>
        <v>0</v>
      </c>
      <c r="K422" s="1240"/>
      <c r="L422" s="1240"/>
      <c r="M422" s="1240"/>
      <c r="N422" s="1241"/>
      <c r="O422" s="1239">
        <f>'3.LRA'!I59</f>
        <v>0</v>
      </c>
      <c r="P422" s="1240"/>
      <c r="Q422" s="1240"/>
      <c r="R422" s="1240"/>
      <c r="S422" s="1241"/>
      <c r="T422" s="1387">
        <v>0</v>
      </c>
      <c r="U422" s="1388"/>
      <c r="V422" s="1041" t="e">
        <f t="shared" si="14"/>
        <v>#DIV/0!</v>
      </c>
      <c r="W422" s="1042"/>
      <c r="X422" s="1042"/>
      <c r="Y422" s="1045">
        <f t="shared" si="15"/>
        <v>0</v>
      </c>
      <c r="Z422" s="1046"/>
      <c r="AA422" s="1046"/>
      <c r="AB422" s="1046"/>
      <c r="AC422" s="1045">
        <f t="shared" si="16"/>
        <v>0</v>
      </c>
      <c r="AD422" s="1046"/>
      <c r="AE422" s="1046"/>
      <c r="AF422" s="1046"/>
    </row>
    <row r="423" spans="1:32" s="141" customFormat="1" ht="43.5" customHeight="1">
      <c r="A423" s="1356" t="str">
        <f>'3.LRA'!C60</f>
        <v>Belanja Barang yang Diserahkan kepada Masyarakat</v>
      </c>
      <c r="B423" s="1044"/>
      <c r="C423" s="1044"/>
      <c r="D423" s="1044"/>
      <c r="E423" s="1240">
        <f>'3.LRA'!D60</f>
        <v>101408500</v>
      </c>
      <c r="F423" s="1240"/>
      <c r="G423" s="1240"/>
      <c r="H423" s="1240"/>
      <c r="I423" s="1241"/>
      <c r="J423" s="1240">
        <f>'3.LRA'!E60</f>
        <v>100763500</v>
      </c>
      <c r="K423" s="1240"/>
      <c r="L423" s="1240"/>
      <c r="M423" s="1240"/>
      <c r="N423" s="1241"/>
      <c r="O423" s="1239">
        <f>'3.LRA'!I60</f>
        <v>2138640000</v>
      </c>
      <c r="P423" s="1240"/>
      <c r="Q423" s="1240"/>
      <c r="R423" s="1240"/>
      <c r="S423" s="1241"/>
      <c r="T423" s="1387">
        <f t="shared" si="13"/>
        <v>-95.28843096547338</v>
      </c>
      <c r="U423" s="1388"/>
      <c r="V423" s="1041">
        <f t="shared" si="14"/>
        <v>99.3639586425201</v>
      </c>
      <c r="W423" s="1042"/>
      <c r="X423" s="1042"/>
      <c r="Y423" s="1045">
        <f t="shared" si="15"/>
        <v>645000</v>
      </c>
      <c r="Z423" s="1046"/>
      <c r="AA423" s="1046"/>
      <c r="AB423" s="1046"/>
      <c r="AC423" s="1045">
        <f t="shared" si="16"/>
        <v>-2037876500</v>
      </c>
      <c r="AD423" s="1046"/>
      <c r="AE423" s="1046"/>
      <c r="AF423" s="1046"/>
    </row>
    <row r="424" spans="1:32" s="141" customFormat="1" ht="30.75" customHeight="1">
      <c r="A424" s="1356" t="str">
        <f>'3.LRA'!C61</f>
        <v>Belanaja Beasiswa Pendidikan PNS</v>
      </c>
      <c r="B424" s="1044"/>
      <c r="C424" s="1044"/>
      <c r="D424" s="1044"/>
      <c r="E424" s="1240">
        <f>'3.LRA'!D61</f>
        <v>0</v>
      </c>
      <c r="F424" s="1240"/>
      <c r="G424" s="1240"/>
      <c r="H424" s="1240"/>
      <c r="I424" s="1241"/>
      <c r="J424" s="1240">
        <f>'3.LRA'!E61</f>
        <v>0</v>
      </c>
      <c r="K424" s="1240"/>
      <c r="L424" s="1240"/>
      <c r="M424" s="1240"/>
      <c r="N424" s="1241"/>
      <c r="O424" s="1239">
        <f>'3.LRA'!I61</f>
        <v>0</v>
      </c>
      <c r="P424" s="1240"/>
      <c r="Q424" s="1240"/>
      <c r="R424" s="1240"/>
      <c r="S424" s="1241"/>
      <c r="T424" s="1387">
        <v>0</v>
      </c>
      <c r="U424" s="1388"/>
      <c r="V424" s="1041" t="e">
        <f t="shared" si="14"/>
        <v>#DIV/0!</v>
      </c>
      <c r="W424" s="1042"/>
      <c r="X424" s="1042"/>
      <c r="Y424" s="1045">
        <f t="shared" si="15"/>
        <v>0</v>
      </c>
      <c r="Z424" s="1046"/>
      <c r="AA424" s="1046"/>
      <c r="AB424" s="1046"/>
      <c r="AC424" s="1045">
        <f t="shared" si="16"/>
        <v>0</v>
      </c>
      <c r="AD424" s="1046"/>
      <c r="AE424" s="1046"/>
      <c r="AF424" s="1046"/>
    </row>
    <row r="425" spans="1:32" s="141" customFormat="1" ht="28.5" customHeight="1">
      <c r="A425" s="1356" t="str">
        <f>'3.LRA'!C62</f>
        <v>Belanja kursus pelatihan, sosialisasi dan Bintek PNS</v>
      </c>
      <c r="B425" s="1044"/>
      <c r="C425" s="1044"/>
      <c r="D425" s="1044"/>
      <c r="E425" s="1240">
        <f>'3.LRA'!D62</f>
        <v>0</v>
      </c>
      <c r="F425" s="1240"/>
      <c r="G425" s="1240"/>
      <c r="H425" s="1240"/>
      <c r="I425" s="1241"/>
      <c r="J425" s="1240">
        <f>'3.LRA'!E62</f>
        <v>0</v>
      </c>
      <c r="K425" s="1240"/>
      <c r="L425" s="1240"/>
      <c r="M425" s="1240"/>
      <c r="N425" s="1241"/>
      <c r="O425" s="1239">
        <f>'3.LRA'!I62</f>
        <v>0</v>
      </c>
      <c r="P425" s="1240"/>
      <c r="Q425" s="1240"/>
      <c r="R425" s="1240"/>
      <c r="S425" s="1241"/>
      <c r="T425" s="1387">
        <v>0</v>
      </c>
      <c r="U425" s="1388"/>
      <c r="V425" s="1041" t="e">
        <f t="shared" si="14"/>
        <v>#DIV/0!</v>
      </c>
      <c r="W425" s="1042"/>
      <c r="X425" s="1042"/>
      <c r="Y425" s="1045">
        <f t="shared" si="15"/>
        <v>0</v>
      </c>
      <c r="Z425" s="1046"/>
      <c r="AA425" s="1046"/>
      <c r="AB425" s="1046"/>
      <c r="AC425" s="1045">
        <f t="shared" si="16"/>
        <v>0</v>
      </c>
      <c r="AD425" s="1046"/>
      <c r="AE425" s="1046"/>
      <c r="AF425" s="1046"/>
    </row>
    <row r="426" spans="1:32" s="141" customFormat="1" ht="30.75" customHeight="1">
      <c r="A426" s="1356" t="str">
        <f>'3.LRA'!C63</f>
        <v>Belanja Honorarium Non Pegawai</v>
      </c>
      <c r="B426" s="1044"/>
      <c r="C426" s="1044"/>
      <c r="D426" s="1044"/>
      <c r="E426" s="1240">
        <f>'3.LRA'!D63</f>
        <v>0</v>
      </c>
      <c r="F426" s="1240"/>
      <c r="G426" s="1240"/>
      <c r="H426" s="1240"/>
      <c r="I426" s="1241"/>
      <c r="J426" s="1240">
        <f>'3.LRA'!E63</f>
        <v>0</v>
      </c>
      <c r="K426" s="1240"/>
      <c r="L426" s="1240"/>
      <c r="M426" s="1240"/>
      <c r="N426" s="1241"/>
      <c r="O426" s="1239">
        <f>'3.LRA'!I63</f>
        <v>0</v>
      </c>
      <c r="P426" s="1240"/>
      <c r="Q426" s="1240"/>
      <c r="R426" s="1240"/>
      <c r="S426" s="1241"/>
      <c r="T426" s="1387">
        <v>0</v>
      </c>
      <c r="U426" s="1388"/>
      <c r="V426" s="1041" t="e">
        <f t="shared" si="14"/>
        <v>#DIV/0!</v>
      </c>
      <c r="W426" s="1042"/>
      <c r="X426" s="1042"/>
      <c r="Y426" s="1045">
        <f t="shared" si="15"/>
        <v>0</v>
      </c>
      <c r="Z426" s="1046"/>
      <c r="AA426" s="1046"/>
      <c r="AB426" s="1046"/>
      <c r="AC426" s="1045">
        <f t="shared" si="16"/>
        <v>0</v>
      </c>
      <c r="AD426" s="1046"/>
      <c r="AE426" s="1046"/>
      <c r="AF426" s="1046"/>
    </row>
    <row r="427" spans="1:32" s="141" customFormat="1" ht="18.75" customHeight="1">
      <c r="A427" s="1356" t="str">
        <f>'3.LRA'!C64</f>
        <v>Honorarium PNS</v>
      </c>
      <c r="B427" s="1044"/>
      <c r="C427" s="1044"/>
      <c r="D427" s="1044"/>
      <c r="E427" s="1240">
        <f>'3.LRA'!D64</f>
        <v>0</v>
      </c>
      <c r="F427" s="1240"/>
      <c r="G427" s="1240"/>
      <c r="H427" s="1240"/>
      <c r="I427" s="1241"/>
      <c r="J427" s="1240">
        <f>'3.LRA'!E64</f>
        <v>0</v>
      </c>
      <c r="K427" s="1240"/>
      <c r="L427" s="1240"/>
      <c r="M427" s="1240"/>
      <c r="N427" s="1241"/>
      <c r="O427" s="1239">
        <f>'3.LRA'!I64</f>
        <v>0</v>
      </c>
      <c r="P427" s="1240"/>
      <c r="Q427" s="1240"/>
      <c r="R427" s="1240"/>
      <c r="S427" s="1241"/>
      <c r="T427" s="1387">
        <v>0</v>
      </c>
      <c r="U427" s="1388"/>
      <c r="V427" s="1041" t="e">
        <f t="shared" si="14"/>
        <v>#DIV/0!</v>
      </c>
      <c r="W427" s="1042"/>
      <c r="X427" s="1042"/>
      <c r="Y427" s="1045">
        <f t="shared" si="15"/>
        <v>0</v>
      </c>
      <c r="Z427" s="1046"/>
      <c r="AA427" s="1046"/>
      <c r="AB427" s="1046"/>
      <c r="AC427" s="1045">
        <f t="shared" si="16"/>
        <v>0</v>
      </c>
      <c r="AD427" s="1046"/>
      <c r="AE427" s="1046"/>
      <c r="AF427" s="1046"/>
    </row>
    <row r="428" spans="1:32" s="141" customFormat="1" ht="18.75" customHeight="1">
      <c r="A428" s="1356" t="str">
        <f>'3.LRA'!C65</f>
        <v>Honorarium Non PNS</v>
      </c>
      <c r="B428" s="1044"/>
      <c r="C428" s="1044"/>
      <c r="D428" s="1044"/>
      <c r="E428" s="1240">
        <f>'3.LRA'!D65</f>
        <v>0</v>
      </c>
      <c r="F428" s="1240"/>
      <c r="G428" s="1240"/>
      <c r="H428" s="1240"/>
      <c r="I428" s="1241"/>
      <c r="J428" s="1240">
        <f>'3.LRA'!E65</f>
        <v>0</v>
      </c>
      <c r="K428" s="1240"/>
      <c r="L428" s="1240"/>
      <c r="M428" s="1240"/>
      <c r="N428" s="1241"/>
      <c r="O428" s="1239">
        <f>'3.LRA'!I65</f>
        <v>0</v>
      </c>
      <c r="P428" s="1240"/>
      <c r="Q428" s="1240"/>
      <c r="R428" s="1240"/>
      <c r="S428" s="1241"/>
      <c r="T428" s="1363">
        <v>0</v>
      </c>
      <c r="U428" s="1364"/>
      <c r="V428" s="1041" t="e">
        <f t="shared" si="14"/>
        <v>#DIV/0!</v>
      </c>
      <c r="W428" s="1042"/>
      <c r="X428" s="1042"/>
      <c r="Y428" s="1045">
        <f t="shared" si="15"/>
        <v>0</v>
      </c>
      <c r="Z428" s="1046"/>
      <c r="AA428" s="1046"/>
      <c r="AB428" s="1046"/>
      <c r="AC428" s="1045">
        <f t="shared" si="16"/>
        <v>0</v>
      </c>
      <c r="AD428" s="1046"/>
      <c r="AE428" s="1046"/>
      <c r="AF428" s="1046"/>
    </row>
    <row r="429" spans="1:32" s="141" customFormat="1" ht="42.75" customHeight="1">
      <c r="A429" s="1356" t="str">
        <f>'3.LRA'!C66</f>
        <v>Belanja Stimulan, uang saku,hadiah penghargaan, penggantian biaya</v>
      </c>
      <c r="B429" s="1044"/>
      <c r="C429" s="1044"/>
      <c r="D429" s="1044"/>
      <c r="E429" s="1240">
        <f>'3.LRA'!D66</f>
        <v>7750000</v>
      </c>
      <c r="F429" s="1240"/>
      <c r="G429" s="1240"/>
      <c r="H429" s="1240"/>
      <c r="I429" s="1241"/>
      <c r="J429" s="1240">
        <f>'3.LRA'!E66</f>
        <v>7750000</v>
      </c>
      <c r="K429" s="1240"/>
      <c r="L429" s="1240"/>
      <c r="M429" s="1240"/>
      <c r="N429" s="1241"/>
      <c r="O429" s="1239">
        <f>'3.LRA'!I66</f>
        <v>0</v>
      </c>
      <c r="P429" s="1240"/>
      <c r="Q429" s="1240"/>
      <c r="R429" s="1240"/>
      <c r="S429" s="1241"/>
      <c r="T429" s="1363">
        <v>0</v>
      </c>
      <c r="U429" s="1364"/>
      <c r="V429" s="1041">
        <f t="shared" si="14"/>
        <v>100</v>
      </c>
      <c r="W429" s="1042"/>
      <c r="X429" s="1042"/>
      <c r="Y429" s="1045">
        <f t="shared" si="15"/>
        <v>0</v>
      </c>
      <c r="Z429" s="1046"/>
      <c r="AA429" s="1046"/>
      <c r="AB429" s="1046"/>
      <c r="AC429" s="1045">
        <f t="shared" si="16"/>
        <v>7750000</v>
      </c>
      <c r="AD429" s="1046"/>
      <c r="AE429" s="1046"/>
      <c r="AF429" s="1046"/>
    </row>
    <row r="430" spans="1:32" s="141" customFormat="1" ht="27" customHeight="1">
      <c r="A430" s="1356" t="str">
        <f>'3.LRA'!C67</f>
        <v>Belanja Barang dan Jasa BLUD</v>
      </c>
      <c r="B430" s="1044"/>
      <c r="C430" s="1044"/>
      <c r="D430" s="1044"/>
      <c r="E430" s="1240">
        <f>'3.LRA'!D67</f>
        <v>0</v>
      </c>
      <c r="F430" s="1240"/>
      <c r="G430" s="1240"/>
      <c r="H430" s="1240"/>
      <c r="I430" s="1241"/>
      <c r="J430" s="1240">
        <f>'3.LRA'!E67</f>
        <v>0</v>
      </c>
      <c r="K430" s="1240"/>
      <c r="L430" s="1240"/>
      <c r="M430" s="1240"/>
      <c r="N430" s="1241"/>
      <c r="O430" s="1239">
        <f>'3.LRA'!I67</f>
        <v>0</v>
      </c>
      <c r="P430" s="1240"/>
      <c r="Q430" s="1240"/>
      <c r="R430" s="1240"/>
      <c r="S430" s="1241"/>
      <c r="T430" s="1363">
        <v>0</v>
      </c>
      <c r="U430" s="1364"/>
      <c r="V430" s="1041" t="e">
        <f t="shared" si="14"/>
        <v>#DIV/0!</v>
      </c>
      <c r="W430" s="1042"/>
      <c r="X430" s="1042"/>
      <c r="Y430" s="1045">
        <f t="shared" si="15"/>
        <v>0</v>
      </c>
      <c r="Z430" s="1046"/>
      <c r="AA430" s="1046"/>
      <c r="AB430" s="1046"/>
      <c r="AC430" s="1045">
        <f t="shared" si="16"/>
        <v>0</v>
      </c>
      <c r="AD430" s="1046"/>
      <c r="AE430" s="1046"/>
      <c r="AF430" s="1046"/>
    </row>
    <row r="431" spans="1:32" s="141" customFormat="1" ht="18.75" customHeight="1">
      <c r="A431" s="1260" t="s">
        <v>254</v>
      </c>
      <c r="B431" s="1359"/>
      <c r="C431" s="1359"/>
      <c r="D431" s="1360"/>
      <c r="E431" s="1391">
        <f>SUM(E411:I430)</f>
        <v>553994000</v>
      </c>
      <c r="F431" s="1392"/>
      <c r="G431" s="1392"/>
      <c r="H431" s="1392"/>
      <c r="I431" s="1393"/>
      <c r="J431" s="1391">
        <f>SUM(J411:N430)</f>
        <v>529880815</v>
      </c>
      <c r="K431" s="1392"/>
      <c r="L431" s="1392"/>
      <c r="M431" s="1392"/>
      <c r="N431" s="1393"/>
      <c r="O431" s="1391">
        <f>SUM(O411:S430)</f>
        <v>2457760692</v>
      </c>
      <c r="P431" s="1392"/>
      <c r="Q431" s="1392"/>
      <c r="R431" s="1392"/>
      <c r="S431" s="1393"/>
      <c r="T431" s="1389">
        <f t="shared" si="13"/>
        <v>-78.44050412537072</v>
      </c>
      <c r="U431" s="1390"/>
      <c r="V431" s="1041">
        <f t="shared" si="14"/>
        <v>95.64739239053131</v>
      </c>
      <c r="W431" s="1042"/>
      <c r="X431" s="1042"/>
      <c r="Y431" s="1045">
        <f t="shared" si="15"/>
        <v>24113185</v>
      </c>
      <c r="Z431" s="1046"/>
      <c r="AA431" s="1046"/>
      <c r="AB431" s="1046"/>
      <c r="AC431" s="1045">
        <f t="shared" si="16"/>
        <v>-1927879877</v>
      </c>
      <c r="AD431" s="1046"/>
      <c r="AE431" s="1046"/>
      <c r="AF431" s="1046"/>
    </row>
    <row r="432" spans="1:21" s="141" customFormat="1" ht="10.5" customHeight="1">
      <c r="A432" s="650"/>
      <c r="B432" s="52"/>
      <c r="C432" s="52"/>
      <c r="D432" s="692"/>
      <c r="E432" s="37"/>
      <c r="F432" s="37"/>
      <c r="G432" s="37"/>
      <c r="H432" s="37"/>
      <c r="I432" s="37"/>
      <c r="J432" s="37"/>
      <c r="K432" s="37"/>
      <c r="L432" s="37"/>
      <c r="M432" s="37"/>
      <c r="N432" s="37"/>
      <c r="O432" s="37"/>
      <c r="P432" s="37"/>
      <c r="Q432" s="37"/>
      <c r="R432" s="37"/>
      <c r="S432" s="37"/>
      <c r="T432" s="654"/>
      <c r="U432" s="654"/>
    </row>
    <row r="433" spans="1:22" s="141" customFormat="1" ht="50.25" customHeight="1">
      <c r="A433" s="650"/>
      <c r="B433" s="52"/>
      <c r="C433" s="52"/>
      <c r="D433" s="1091" t="str">
        <f>"Belanja barang dan jasa  TA. "&amp;'2.ISIAN DATA SKPD'!D11&amp;" dapat direalisasikan sebesar Rp. "&amp;FIXED(J431)&amp;" atau mencapai "&amp;FIXED(T431)&amp;"% dari TA "&amp;'2.ISIAN DATA SKPD'!D12&amp;" sebesar Rp. "&amp;FIXED(O431)&amp;" atau kurang dari anggaran sebesar Rp. "&amp;FIXED(V431)&amp;""</f>
        <v>Belanja barang dan jasa  TA. 2017 dapat direalisasikan sebesar Rp. 529,880,815.00 atau mencapai -78.44% dari TA 2016 sebesar Rp. 2,457,760,692.00 atau kurang dari anggaran sebesar Rp. 95.65</v>
      </c>
      <c r="E433" s="1091"/>
      <c r="F433" s="1091"/>
      <c r="G433" s="1091"/>
      <c r="H433" s="1091"/>
      <c r="I433" s="1091"/>
      <c r="J433" s="1091"/>
      <c r="K433" s="1091"/>
      <c r="L433" s="1091"/>
      <c r="M433" s="1091"/>
      <c r="N433" s="1091"/>
      <c r="O433" s="1091"/>
      <c r="P433" s="1091"/>
      <c r="Q433" s="1091"/>
      <c r="R433" s="1091"/>
      <c r="S433" s="1091"/>
      <c r="T433" s="1091"/>
      <c r="U433" s="1091"/>
      <c r="V433" s="52"/>
    </row>
    <row r="434" spans="1:22" s="141" customFormat="1" ht="17.25" customHeight="1">
      <c r="A434" s="650"/>
      <c r="B434" s="52"/>
      <c r="C434" s="663" t="s">
        <v>17</v>
      </c>
      <c r="D434" s="1407" t="s">
        <v>1730</v>
      </c>
      <c r="E434" s="1407"/>
      <c r="F434" s="1407"/>
      <c r="G434" s="1407"/>
      <c r="H434" s="1407"/>
      <c r="I434" s="1407"/>
      <c r="J434" s="1407"/>
      <c r="K434" s="1407"/>
      <c r="L434" s="1407"/>
      <c r="M434" s="1407"/>
      <c r="N434" s="1407"/>
      <c r="O434" s="1407"/>
      <c r="P434" s="1407"/>
      <c r="Q434" s="1407"/>
      <c r="R434" s="1407"/>
      <c r="S434" s="1407"/>
      <c r="T434" s="1407"/>
      <c r="U434" s="1407"/>
      <c r="V434" s="52"/>
    </row>
    <row r="435" spans="1:22" s="141" customFormat="1" ht="60.75" customHeight="1">
      <c r="A435" s="836"/>
      <c r="D435" s="1056" t="str">
        <f>"Belanja hibah TA. "&amp;'2.ISIAN DATA SKPD'!D39&amp;" dapat direalisasikan sebesar Rp. "&amp;FIXED(J451)&amp;" atau mencapai "&amp;FIXED(V451)&amp;"% dari anggaran yang telah ditetapkan sebesar Rp. "&amp;FIXED(E451)&amp;" atau kurang dari anggaran sebesar Rp. "&amp;FIXED(Y451)&amp;""</f>
        <v>Belanja hibah TA.  dapat direalisasikan sebesar Rp. 190,286,160.00 atau mencapai 95.14% dari anggaran yang telah ditetapkan sebesar Rp. 200,000,000.00 atau kurang dari anggaran sebesar Rp. 9,713,840.00</v>
      </c>
      <c r="E435" s="1056"/>
      <c r="F435" s="1056"/>
      <c r="G435" s="1056"/>
      <c r="H435" s="1056"/>
      <c r="I435" s="1056"/>
      <c r="J435" s="1056"/>
      <c r="K435" s="1056"/>
      <c r="L435" s="1056"/>
      <c r="M435" s="1056"/>
      <c r="N435" s="1056"/>
      <c r="O435" s="1056"/>
      <c r="P435" s="1056"/>
      <c r="Q435" s="1056"/>
      <c r="R435" s="1056"/>
      <c r="S435" s="1056"/>
      <c r="T435" s="1056"/>
      <c r="U435" s="1056"/>
      <c r="V435" s="52"/>
    </row>
    <row r="436" spans="1:22" s="141" customFormat="1" ht="64.5" customHeight="1">
      <c r="A436" s="650"/>
      <c r="D436" s="1056" t="str">
        <f>"Bila dibandingkan dengan TA "&amp;'2.ISIAN DATA SKPD'!D40&amp;", Realisasi belanja barang TA "&amp;'2.ISIAN DATA SKPD'!D39&amp;" mengalami kenaikan sebesar Rp. "&amp;FIXED(AC451)&amp;"  atau "&amp;FIXED(T451)&amp;"%. Realisai belanja barang dan jasa dapat dilihat pada tabel dibawah ini."</f>
        <v>Bila dibandingkan dengan TA , Realisasi belanja barang TA  mengalami kenaikan sebesar Rp. 190,286,160.00  atau 100.00%. Realisai belanja barang dan jasa dapat dilihat pada tabel dibawah ini.</v>
      </c>
      <c r="E436" s="1056"/>
      <c r="F436" s="1056"/>
      <c r="G436" s="1056"/>
      <c r="H436" s="1056"/>
      <c r="I436" s="1056"/>
      <c r="J436" s="1056"/>
      <c r="K436" s="1056"/>
      <c r="L436" s="1056"/>
      <c r="M436" s="1056"/>
      <c r="N436" s="1056"/>
      <c r="O436" s="1056"/>
      <c r="P436" s="1056"/>
      <c r="Q436" s="1056"/>
      <c r="R436" s="1056"/>
      <c r="S436" s="1056"/>
      <c r="T436" s="1056"/>
      <c r="U436" s="1056"/>
      <c r="V436" s="52"/>
    </row>
    <row r="437" spans="1:22" s="141" customFormat="1" ht="17.25" customHeight="1">
      <c r="A437" s="650"/>
      <c r="B437" s="1088" t="str">
        <f>"Perbandingan Belanja Hibah TA "&amp;'2.ISIAN DATA SKPD'!D11&amp;" dan "&amp;'2.ISIAN DATA SKPD'!D12&amp;""</f>
        <v>Perbandingan Belanja Hibah TA 2017 dan 2016</v>
      </c>
      <c r="C437" s="1088"/>
      <c r="D437" s="1088"/>
      <c r="E437" s="1088"/>
      <c r="F437" s="1088"/>
      <c r="G437" s="1088"/>
      <c r="H437" s="1088"/>
      <c r="I437" s="1088"/>
      <c r="J437" s="1088"/>
      <c r="K437" s="1088"/>
      <c r="L437" s="1088"/>
      <c r="M437" s="1088"/>
      <c r="N437" s="1088"/>
      <c r="O437" s="1088"/>
      <c r="P437" s="1088"/>
      <c r="Q437" s="1088"/>
      <c r="R437" s="1088"/>
      <c r="S437" s="1088"/>
      <c r="T437" s="1088"/>
      <c r="U437" s="1088"/>
      <c r="V437" s="52"/>
    </row>
    <row r="438" spans="1:32" s="141" customFormat="1" ht="34.5" customHeight="1">
      <c r="A438" s="1245" t="s">
        <v>1729</v>
      </c>
      <c r="B438" s="1246"/>
      <c r="C438" s="1246"/>
      <c r="D438" s="1246"/>
      <c r="E438" s="1244" t="s">
        <v>80</v>
      </c>
      <c r="F438" s="1244"/>
      <c r="G438" s="1244"/>
      <c r="H438" s="1244"/>
      <c r="I438" s="1244"/>
      <c r="J438" s="1245" t="str">
        <f>J410</f>
        <v>Realisasi                      TA 2017</v>
      </c>
      <c r="K438" s="1246"/>
      <c r="L438" s="1246"/>
      <c r="M438" s="1246"/>
      <c r="N438" s="1247"/>
      <c r="O438" s="1245" t="str">
        <f>O410</f>
        <v>Realisasi                   TA 2016</v>
      </c>
      <c r="P438" s="1246"/>
      <c r="Q438" s="1246"/>
      <c r="R438" s="1246"/>
      <c r="S438" s="1247"/>
      <c r="T438" s="1345" t="s">
        <v>1207</v>
      </c>
      <c r="U438" s="1346"/>
      <c r="V438" s="1041" t="s">
        <v>1673</v>
      </c>
      <c r="W438" s="1042"/>
      <c r="X438" s="1042"/>
      <c r="Y438" s="1043" t="s">
        <v>1674</v>
      </c>
      <c r="Z438" s="1044"/>
      <c r="AA438" s="1044"/>
      <c r="AB438" s="1044" t="s">
        <v>1673</v>
      </c>
      <c r="AC438" s="1043" t="s">
        <v>1675</v>
      </c>
      <c r="AD438" s="1044"/>
      <c r="AE438" s="1044"/>
      <c r="AF438" s="1044"/>
    </row>
    <row r="439" spans="1:32" s="141" customFormat="1" ht="43.5" customHeight="1">
      <c r="A439" s="1356" t="str">
        <f>'3.LRA'!C60</f>
        <v>Belanja Barang yang Diserahkan kepada Masyarakat</v>
      </c>
      <c r="B439" s="1356"/>
      <c r="C439" s="1356"/>
      <c r="D439" s="1356"/>
      <c r="E439" s="1240">
        <f>'3.LRA'!D60</f>
        <v>101408500</v>
      </c>
      <c r="F439" s="1240"/>
      <c r="G439" s="1240"/>
      <c r="H439" s="1240"/>
      <c r="I439" s="1241"/>
      <c r="J439" s="1240">
        <f>'3.LRA'!E60</f>
        <v>100763500</v>
      </c>
      <c r="K439" s="1240"/>
      <c r="L439" s="1240"/>
      <c r="M439" s="1240"/>
      <c r="N439" s="1241"/>
      <c r="O439" s="1239">
        <f>'3.LRA'!I60</f>
        <v>2138640000</v>
      </c>
      <c r="P439" s="1240"/>
      <c r="Q439" s="1240"/>
      <c r="R439" s="1240"/>
      <c r="S439" s="1241"/>
      <c r="T439" s="1387">
        <f>(J439-O439)/O439*100</f>
        <v>-95.28843096547338</v>
      </c>
      <c r="U439" s="1388"/>
      <c r="V439" s="1041">
        <f>J439/E439*100</f>
        <v>99.3639586425201</v>
      </c>
      <c r="W439" s="1042"/>
      <c r="X439" s="1042"/>
      <c r="Y439" s="1045">
        <f>E439-J439</f>
        <v>645000</v>
      </c>
      <c r="Z439" s="1046"/>
      <c r="AA439" s="1046"/>
      <c r="AB439" s="1046"/>
      <c r="AC439" s="1045">
        <f>J439-O439</f>
        <v>-2037876500</v>
      </c>
      <c r="AD439" s="1046"/>
      <c r="AE439" s="1046"/>
      <c r="AF439" s="1046"/>
    </row>
    <row r="440" spans="1:22" s="141" customFormat="1" ht="17.25" customHeight="1">
      <c r="A440" s="650"/>
      <c r="B440" s="52"/>
      <c r="C440" s="663"/>
      <c r="D440" s="835"/>
      <c r="E440" s="835"/>
      <c r="F440" s="835"/>
      <c r="G440" s="835"/>
      <c r="H440" s="835"/>
      <c r="I440" s="835"/>
      <c r="J440" s="835"/>
      <c r="K440" s="835"/>
      <c r="L440" s="835"/>
      <c r="M440" s="835"/>
      <c r="N440" s="835"/>
      <c r="O440" s="835"/>
      <c r="P440" s="835"/>
      <c r="Q440" s="835"/>
      <c r="R440" s="835"/>
      <c r="S440" s="835"/>
      <c r="T440" s="835"/>
      <c r="U440" s="835"/>
      <c r="V440" s="52"/>
    </row>
    <row r="441" spans="1:22" s="141" customFormat="1" ht="17.25" customHeight="1">
      <c r="A441" s="650"/>
      <c r="B441" s="52"/>
      <c r="C441" s="663" t="s">
        <v>786</v>
      </c>
      <c r="D441" s="1407" t="s">
        <v>1731</v>
      </c>
      <c r="E441" s="1407"/>
      <c r="F441" s="1407"/>
      <c r="G441" s="1407"/>
      <c r="H441" s="1407"/>
      <c r="I441" s="1407"/>
      <c r="J441" s="1407"/>
      <c r="K441" s="1407"/>
      <c r="L441" s="1407"/>
      <c r="M441" s="1407"/>
      <c r="N441" s="1407"/>
      <c r="O441" s="1407"/>
      <c r="P441" s="1407"/>
      <c r="Q441" s="1407"/>
      <c r="R441" s="1407"/>
      <c r="S441" s="1407"/>
      <c r="T441" s="1407"/>
      <c r="U441" s="1407"/>
      <c r="V441" s="52"/>
    </row>
    <row r="442" spans="1:22" s="141" customFormat="1" ht="0.75" customHeight="1">
      <c r="A442" s="650"/>
      <c r="B442" s="52"/>
      <c r="C442" s="52"/>
      <c r="D442" s="692"/>
      <c r="E442" s="37"/>
      <c r="F442" s="37"/>
      <c r="G442" s="37"/>
      <c r="H442" s="37"/>
      <c r="I442" s="37"/>
      <c r="J442" s="37"/>
      <c r="K442" s="37"/>
      <c r="L442" s="37"/>
      <c r="M442" s="37"/>
      <c r="N442" s="37"/>
      <c r="O442" s="37"/>
      <c r="P442" s="37"/>
      <c r="Q442" s="37"/>
      <c r="R442" s="37"/>
      <c r="S442" s="37"/>
      <c r="T442" s="654"/>
      <c r="U442" s="654"/>
      <c r="V442" s="52"/>
    </row>
    <row r="443" spans="1:22" s="141" customFormat="1" ht="22.5" customHeight="1">
      <c r="A443" s="1516"/>
      <c r="C443" s="663" t="s">
        <v>1221</v>
      </c>
      <c r="D443" s="115" t="s">
        <v>30</v>
      </c>
      <c r="E443" s="715"/>
      <c r="F443" s="115"/>
      <c r="G443" s="115"/>
      <c r="H443" s="52"/>
      <c r="I443" s="52"/>
      <c r="J443" s="52"/>
      <c r="K443" s="52"/>
      <c r="L443" s="38"/>
      <c r="M443" s="38"/>
      <c r="N443" s="38"/>
      <c r="O443" s="38"/>
      <c r="P443" s="38"/>
      <c r="Q443" s="38"/>
      <c r="R443" s="38"/>
      <c r="S443" s="38"/>
      <c r="T443" s="655"/>
      <c r="U443" s="655"/>
      <c r="V443" s="52"/>
    </row>
    <row r="444" spans="1:22" s="141" customFormat="1" ht="44.25" customHeight="1">
      <c r="A444" s="1516"/>
      <c r="C444" s="663"/>
      <c r="D444" s="1091" t="s">
        <v>122</v>
      </c>
      <c r="E444" s="1091"/>
      <c r="F444" s="1091"/>
      <c r="G444" s="1091"/>
      <c r="H444" s="1091"/>
      <c r="I444" s="1091"/>
      <c r="J444" s="1091"/>
      <c r="K444" s="1091"/>
      <c r="L444" s="1091"/>
      <c r="M444" s="1091"/>
      <c r="N444" s="1091"/>
      <c r="O444" s="1091"/>
      <c r="P444" s="1091"/>
      <c r="Q444" s="1091"/>
      <c r="R444" s="1091"/>
      <c r="S444" s="1091"/>
      <c r="T444" s="1091"/>
      <c r="U444" s="1091"/>
      <c r="V444" s="52"/>
    </row>
    <row r="445" spans="1:39" s="141" customFormat="1" ht="89.25" customHeight="1">
      <c r="A445" s="1516"/>
      <c r="D445" s="1091" t="str">
        <f>"Belanja Modal TA "&amp;'2.ISIAN DATA SKPD'!D11&amp;"  dapat terealisasi sebesar Rp."&amp;FIXED(J456)&amp;" atau mencapai "&amp;FIXED(V456)&amp;"% dari anggaran yang telah ditetapkan sebesar Rp. "&amp;FIXED(E456)&amp;" atau kurang dari anggaran sebesar Rp. "&amp;FIXED(Y456)&amp;"."&amp;V445&amp;""</f>
        <v>Belanja Modal TA 2017  dapat terealisasi sebesar Rp.6,256,955,760.00 atau mencapai 99.29% dari anggaran yang telah ditetapkan sebesar Rp. 6,301,500,000.00 atau kurang dari anggaran sebesar Rp. 44,544,240.00.Bila dibandingkan dengan TA 2016, Realisasi Belanja Modal TA 2017 mengalami kenaikan sebesar Rp. 3,791,114,760.00  atau 153.75%.</v>
      </c>
      <c r="E445" s="1091"/>
      <c r="F445" s="1091"/>
      <c r="G445" s="1091"/>
      <c r="H445" s="1091"/>
      <c r="I445" s="1091"/>
      <c r="J445" s="1091"/>
      <c r="K445" s="1091"/>
      <c r="L445" s="1091"/>
      <c r="M445" s="1091"/>
      <c r="N445" s="1091"/>
      <c r="O445" s="1091"/>
      <c r="P445" s="1091"/>
      <c r="Q445" s="1091"/>
      <c r="R445" s="1091"/>
      <c r="S445" s="1091"/>
      <c r="T445" s="1091"/>
      <c r="U445" s="1091"/>
      <c r="V445" s="1226" t="str">
        <f>"Bila dibandingkan dengan TA "&amp;'2.ISIAN DATA SKPD'!D12&amp;", Realisasi Belanja Modal TA "&amp;'2.ISIAN DATA SKPD'!D11&amp;" mengalami kenaikan sebesar Rp. "&amp;FIXED('3.LRA'!L68)&amp;"  atau "&amp;FIXED('3.LRA'!K68)&amp;"%."</f>
        <v>Bila dibandingkan dengan TA 2016, Realisasi Belanja Modal TA 2017 mengalami kenaikan sebesar Rp. 3,791,114,760.00  atau 153.75%.</v>
      </c>
      <c r="W445" s="1226"/>
      <c r="X445" s="1226"/>
      <c r="Y445" s="1226"/>
      <c r="Z445" s="1226"/>
      <c r="AA445" s="1226"/>
      <c r="AB445" s="1226"/>
      <c r="AC445" s="1226"/>
      <c r="AD445" s="1226"/>
      <c r="AE445" s="1226"/>
      <c r="AF445" s="1226"/>
      <c r="AG445" s="1226"/>
      <c r="AH445" s="1226"/>
      <c r="AI445" s="1226"/>
      <c r="AJ445" s="1226"/>
      <c r="AK445" s="1226"/>
      <c r="AL445" s="1226"/>
      <c r="AM445" s="1226"/>
    </row>
    <row r="446" spans="1:22" s="141" customFormat="1" ht="29.25" customHeight="1">
      <c r="A446" s="650"/>
      <c r="D446" s="1091" t="str">
        <f>"Adapun perbandingan Belanja Modal pada TA "&amp;'2.ISIAN DATA SKPD'!D11&amp;" TA "&amp;'2.ISIAN DATA SKPD'!D12&amp;" sebagaimana tabel berikut."</f>
        <v>Adapun perbandingan Belanja Modal pada TA 2017 TA 2016 sebagaimana tabel berikut.</v>
      </c>
      <c r="E446" s="1091"/>
      <c r="F446" s="1091"/>
      <c r="G446" s="1091"/>
      <c r="H446" s="1091"/>
      <c r="I446" s="1091"/>
      <c r="J446" s="1091"/>
      <c r="K446" s="1091"/>
      <c r="L446" s="1091"/>
      <c r="M446" s="1091"/>
      <c r="N446" s="1091"/>
      <c r="O446" s="1091"/>
      <c r="P446" s="1091"/>
      <c r="Q446" s="1091"/>
      <c r="R446" s="1091"/>
      <c r="S446" s="1091"/>
      <c r="T446" s="1091"/>
      <c r="U446" s="1091"/>
      <c r="V446" s="52"/>
    </row>
    <row r="447" spans="1:22" s="141" customFormat="1" ht="15">
      <c r="A447" s="650"/>
      <c r="D447" s="702"/>
      <c r="E447" s="702"/>
      <c r="F447" s="702"/>
      <c r="G447" s="702"/>
      <c r="H447" s="702"/>
      <c r="I447" s="702"/>
      <c r="J447" s="702"/>
      <c r="K447" s="702"/>
      <c r="L447" s="702"/>
      <c r="M447" s="702"/>
      <c r="N447" s="702"/>
      <c r="O447" s="702"/>
      <c r="P447" s="702"/>
      <c r="Q447" s="702"/>
      <c r="R447" s="702"/>
      <c r="S447" s="702"/>
      <c r="T447" s="702"/>
      <c r="U447" s="702"/>
      <c r="V447" s="52"/>
    </row>
    <row r="448" spans="1:22" s="141" customFormat="1" ht="27" customHeight="1">
      <c r="A448" s="650"/>
      <c r="B448" s="1425" t="str">
        <f>"Perbandingan Realisasi Belanja Modal TA "&amp;'2.ISIAN DATA SKPD'!D11&amp;" dan "&amp;'2.ISIAN DATA SKPD'!D12&amp;""</f>
        <v>Perbandingan Realisasi Belanja Modal TA 2017 dan 2016</v>
      </c>
      <c r="C448" s="1425"/>
      <c r="D448" s="1425"/>
      <c r="E448" s="1425"/>
      <c r="F448" s="1425"/>
      <c r="G448" s="1425"/>
      <c r="H448" s="1425"/>
      <c r="I448" s="1425"/>
      <c r="J448" s="1425"/>
      <c r="K448" s="1425"/>
      <c r="L448" s="1425"/>
      <c r="M448" s="1425"/>
      <c r="N448" s="1425"/>
      <c r="O448" s="1425"/>
      <c r="P448" s="1425"/>
      <c r="Q448" s="1425"/>
      <c r="R448" s="1425"/>
      <c r="S448" s="1425"/>
      <c r="T448" s="1425"/>
      <c r="U448" s="1425"/>
      <c r="V448" s="52"/>
    </row>
    <row r="449" spans="1:32" s="141" customFormat="1" ht="35.25" customHeight="1">
      <c r="A449" s="1245" t="s">
        <v>30</v>
      </c>
      <c r="B449" s="1246"/>
      <c r="C449" s="1246"/>
      <c r="D449" s="1246"/>
      <c r="E449" s="1244" t="s">
        <v>80</v>
      </c>
      <c r="F449" s="1244"/>
      <c r="G449" s="1244"/>
      <c r="H449" s="1244"/>
      <c r="I449" s="1244"/>
      <c r="J449" s="1126" t="str">
        <f>J410</f>
        <v>Realisasi                      TA 2017</v>
      </c>
      <c r="K449" s="1127"/>
      <c r="L449" s="1127"/>
      <c r="M449" s="1127"/>
      <c r="N449" s="1128"/>
      <c r="O449" s="1126" t="str">
        <f>O410</f>
        <v>Realisasi                   TA 2016</v>
      </c>
      <c r="P449" s="1127"/>
      <c r="Q449" s="1127"/>
      <c r="R449" s="1127"/>
      <c r="S449" s="1128"/>
      <c r="T449" s="1354" t="s">
        <v>1207</v>
      </c>
      <c r="U449" s="1355"/>
      <c r="V449" s="1041" t="s">
        <v>1673</v>
      </c>
      <c r="W449" s="1042"/>
      <c r="X449" s="1042"/>
      <c r="Y449" s="1043" t="s">
        <v>1674</v>
      </c>
      <c r="Z449" s="1044"/>
      <c r="AA449" s="1044"/>
      <c r="AB449" s="1044" t="s">
        <v>1673</v>
      </c>
      <c r="AC449" s="1043" t="s">
        <v>1675</v>
      </c>
      <c r="AD449" s="1044"/>
      <c r="AE449" s="1044"/>
      <c r="AF449" s="1044"/>
    </row>
    <row r="450" spans="1:32" s="141" customFormat="1" ht="18.75" customHeight="1">
      <c r="A450" s="1394" t="str">
        <f>'3.LRA'!C120</f>
        <v>Belanja Tanah</v>
      </c>
      <c r="B450" s="1394"/>
      <c r="C450" s="1394"/>
      <c r="D450" s="1394"/>
      <c r="E450" s="1190">
        <f>'3.LRA'!D69</f>
        <v>0</v>
      </c>
      <c r="F450" s="1349"/>
      <c r="G450" s="1349"/>
      <c r="H450" s="1349"/>
      <c r="I450" s="1350"/>
      <c r="J450" s="1190">
        <f>'3.LRA'!E120</f>
        <v>0</v>
      </c>
      <c r="K450" s="1349"/>
      <c r="L450" s="1349"/>
      <c r="M450" s="1349"/>
      <c r="N450" s="1350"/>
      <c r="O450" s="1190">
        <f>'3.LRA'!F120</f>
        <v>0</v>
      </c>
      <c r="P450" s="1349"/>
      <c r="Q450" s="1349"/>
      <c r="R450" s="1349"/>
      <c r="S450" s="1350"/>
      <c r="T450" s="1351">
        <v>0</v>
      </c>
      <c r="U450" s="1352"/>
      <c r="V450" s="1041" t="e">
        <f>J450/E450*100</f>
        <v>#DIV/0!</v>
      </c>
      <c r="W450" s="1042"/>
      <c r="X450" s="1042"/>
      <c r="Y450" s="1045">
        <f aca="true" t="shared" si="17" ref="Y450:Y456">E450-J450</f>
        <v>0</v>
      </c>
      <c r="Z450" s="1046"/>
      <c r="AA450" s="1046"/>
      <c r="AB450" s="1046"/>
      <c r="AC450" s="1045">
        <f aca="true" t="shared" si="18" ref="AC450:AC456">J450-O450</f>
        <v>0</v>
      </c>
      <c r="AD450" s="1046"/>
      <c r="AE450" s="1046"/>
      <c r="AF450" s="1046"/>
    </row>
    <row r="451" spans="1:32" s="141" customFormat="1" ht="34.5" customHeight="1">
      <c r="A451" s="1394" t="str">
        <f>'3.LRA'!C121</f>
        <v>Belanja Peralatan dan Mesin</v>
      </c>
      <c r="B451" s="1044"/>
      <c r="C451" s="1044"/>
      <c r="D451" s="1044"/>
      <c r="E451" s="1190">
        <f>'3.LRA'!D72</f>
        <v>200000000</v>
      </c>
      <c r="F451" s="1349"/>
      <c r="G451" s="1349"/>
      <c r="H451" s="1349"/>
      <c r="I451" s="1350"/>
      <c r="J451" s="1190">
        <f>'3.LRA'!E121</f>
        <v>190286160</v>
      </c>
      <c r="K451" s="1349"/>
      <c r="L451" s="1349"/>
      <c r="M451" s="1349"/>
      <c r="N451" s="1350"/>
      <c r="O451" s="1190">
        <f>'3.LRA'!F121</f>
        <v>0</v>
      </c>
      <c r="P451" s="1349"/>
      <c r="Q451" s="1349"/>
      <c r="R451" s="1349"/>
      <c r="S451" s="1350"/>
      <c r="T451" s="1351">
        <v>100</v>
      </c>
      <c r="U451" s="1352"/>
      <c r="V451" s="1041">
        <f aca="true" t="shared" si="19" ref="V451:V456">J451/E451*100</f>
        <v>95.14308</v>
      </c>
      <c r="W451" s="1042"/>
      <c r="X451" s="1042"/>
      <c r="Y451" s="1045">
        <f t="shared" si="17"/>
        <v>9713840</v>
      </c>
      <c r="Z451" s="1046"/>
      <c r="AA451" s="1046"/>
      <c r="AB451" s="1046"/>
      <c r="AC451" s="1045">
        <f t="shared" si="18"/>
        <v>190286160</v>
      </c>
      <c r="AD451" s="1046"/>
      <c r="AE451" s="1046"/>
      <c r="AF451" s="1046"/>
    </row>
    <row r="452" spans="1:32" s="141" customFormat="1" ht="33.75" customHeight="1">
      <c r="A452" s="1394" t="str">
        <f>'3.LRA'!C122</f>
        <v> Belanja Gedung dan Bangunan</v>
      </c>
      <c r="B452" s="1044"/>
      <c r="C452" s="1044"/>
      <c r="D452" s="1044"/>
      <c r="E452" s="1190">
        <f>'3.LRA'!D82</f>
        <v>0</v>
      </c>
      <c r="F452" s="1349"/>
      <c r="G452" s="1349"/>
      <c r="H452" s="1349"/>
      <c r="I452" s="1350"/>
      <c r="J452" s="1190">
        <f>'3.LRA'!E122</f>
        <v>0</v>
      </c>
      <c r="K452" s="1349"/>
      <c r="L452" s="1349"/>
      <c r="M452" s="1349"/>
      <c r="N452" s="1350"/>
      <c r="O452" s="1190">
        <f>'3.LRA'!F122</f>
        <v>192400000</v>
      </c>
      <c r="P452" s="1349"/>
      <c r="Q452" s="1349"/>
      <c r="R452" s="1349"/>
      <c r="S452" s="1350"/>
      <c r="T452" s="1351">
        <f>(J452-O452)/O452*100</f>
        <v>-100</v>
      </c>
      <c r="U452" s="1352"/>
      <c r="V452" s="1041" t="e">
        <f t="shared" si="19"/>
        <v>#DIV/0!</v>
      </c>
      <c r="W452" s="1042"/>
      <c r="X452" s="1042"/>
      <c r="Y452" s="1045">
        <f t="shared" si="17"/>
        <v>0</v>
      </c>
      <c r="Z452" s="1046"/>
      <c r="AA452" s="1046"/>
      <c r="AB452" s="1046"/>
      <c r="AC452" s="1045">
        <f t="shared" si="18"/>
        <v>-192400000</v>
      </c>
      <c r="AD452" s="1046"/>
      <c r="AE452" s="1046"/>
      <c r="AF452" s="1046"/>
    </row>
    <row r="453" spans="1:32" s="141" customFormat="1" ht="36.75" customHeight="1">
      <c r="A453" s="1394" t="str">
        <f>'3.LRA'!C123</f>
        <v>Belanja Jalan, Irigasi dan Jaringan </v>
      </c>
      <c r="B453" s="1044"/>
      <c r="C453" s="1044"/>
      <c r="D453" s="1044"/>
      <c r="E453" s="1190">
        <f>'3.LRA'!D87</f>
        <v>6101500000</v>
      </c>
      <c r="F453" s="1349"/>
      <c r="G453" s="1349"/>
      <c r="H453" s="1349"/>
      <c r="I453" s="1350"/>
      <c r="J453" s="1190">
        <f>'3.LRA'!E123</f>
        <v>6066669600</v>
      </c>
      <c r="K453" s="1349"/>
      <c r="L453" s="1349"/>
      <c r="M453" s="1349"/>
      <c r="N453" s="1350"/>
      <c r="O453" s="1190">
        <f>'3.LRA'!F123</f>
        <v>2273441000</v>
      </c>
      <c r="P453" s="1349"/>
      <c r="Q453" s="1349"/>
      <c r="R453" s="1349"/>
      <c r="S453" s="1350"/>
      <c r="T453" s="1351">
        <f>(J453-O453)/O453*100</f>
        <v>166.84966093248076</v>
      </c>
      <c r="U453" s="1352"/>
      <c r="V453" s="1041">
        <f t="shared" si="19"/>
        <v>99.42915020896501</v>
      </c>
      <c r="W453" s="1042"/>
      <c r="X453" s="1042"/>
      <c r="Y453" s="1045">
        <f t="shared" si="17"/>
        <v>34830400</v>
      </c>
      <c r="Z453" s="1046"/>
      <c r="AA453" s="1046"/>
      <c r="AB453" s="1046"/>
      <c r="AC453" s="1045">
        <f t="shared" si="18"/>
        <v>3793228600</v>
      </c>
      <c r="AD453" s="1046"/>
      <c r="AE453" s="1046"/>
      <c r="AF453" s="1046"/>
    </row>
    <row r="454" spans="1:32" s="141" customFormat="1" ht="16.5" customHeight="1">
      <c r="A454" s="1394" t="str">
        <f>'3.LRA'!C124</f>
        <v> Belanja Aset Tetap Lainnya</v>
      </c>
      <c r="B454" s="1044"/>
      <c r="C454" s="1044"/>
      <c r="D454" s="1044"/>
      <c r="E454" s="1190">
        <f>'3.LRA'!D91</f>
        <v>0</v>
      </c>
      <c r="F454" s="1349"/>
      <c r="G454" s="1349"/>
      <c r="H454" s="1349"/>
      <c r="I454" s="1350"/>
      <c r="J454" s="1190">
        <f>'3.LRA'!E124</f>
        <v>0</v>
      </c>
      <c r="K454" s="1349"/>
      <c r="L454" s="1349"/>
      <c r="M454" s="1349"/>
      <c r="N454" s="1350"/>
      <c r="O454" s="1190">
        <f>'3.LRA'!F124</f>
        <v>0</v>
      </c>
      <c r="P454" s="1349"/>
      <c r="Q454" s="1349"/>
      <c r="R454" s="1349"/>
      <c r="S454" s="1350"/>
      <c r="T454" s="1351">
        <v>0</v>
      </c>
      <c r="U454" s="1352"/>
      <c r="V454" s="1041" t="e">
        <f t="shared" si="19"/>
        <v>#DIV/0!</v>
      </c>
      <c r="W454" s="1042"/>
      <c r="X454" s="1042"/>
      <c r="Y454" s="1045">
        <f t="shared" si="17"/>
        <v>0</v>
      </c>
      <c r="Z454" s="1046"/>
      <c r="AA454" s="1046"/>
      <c r="AB454" s="1046"/>
      <c r="AC454" s="1045">
        <f t="shared" si="18"/>
        <v>0</v>
      </c>
      <c r="AD454" s="1046"/>
      <c r="AE454" s="1046"/>
      <c r="AF454" s="1046"/>
    </row>
    <row r="455" spans="1:38" s="141" customFormat="1" ht="16.5" customHeight="1">
      <c r="A455" s="1394" t="str">
        <f>'3.LRA'!C95</f>
        <v>Belanja Aset Lainnya</v>
      </c>
      <c r="B455" s="1044"/>
      <c r="C455" s="1044"/>
      <c r="D455" s="1044"/>
      <c r="E455" s="1190">
        <f>'3.LRA'!D95</f>
        <v>0</v>
      </c>
      <c r="F455" s="1349"/>
      <c r="G455" s="1349"/>
      <c r="H455" s="1349"/>
      <c r="I455" s="1350"/>
      <c r="J455" s="1190">
        <f>'3.LRA'!E95</f>
        <v>0</v>
      </c>
      <c r="K455" s="1349"/>
      <c r="L455" s="1349"/>
      <c r="M455" s="1349"/>
      <c r="N455" s="1350"/>
      <c r="O455" s="1190">
        <f>'3.LRA'!I95</f>
        <v>0</v>
      </c>
      <c r="P455" s="1349"/>
      <c r="Q455" s="1349"/>
      <c r="R455" s="1349"/>
      <c r="S455" s="1350"/>
      <c r="T455" s="1351">
        <v>0</v>
      </c>
      <c r="U455" s="1352"/>
      <c r="V455" s="1041" t="e">
        <f t="shared" si="19"/>
        <v>#DIV/0!</v>
      </c>
      <c r="W455" s="1042"/>
      <c r="X455" s="1042"/>
      <c r="Y455" s="1045">
        <f t="shared" si="17"/>
        <v>0</v>
      </c>
      <c r="Z455" s="1046"/>
      <c r="AA455" s="1046"/>
      <c r="AB455" s="1046"/>
      <c r="AC455" s="1045">
        <f t="shared" si="18"/>
        <v>0</v>
      </c>
      <c r="AD455" s="1046"/>
      <c r="AE455" s="1046"/>
      <c r="AF455" s="1046"/>
      <c r="AG455" s="716"/>
      <c r="AH455" s="716"/>
      <c r="AI455" s="79"/>
      <c r="AJ455" s="717"/>
      <c r="AK455" s="717"/>
      <c r="AL455" s="717"/>
    </row>
    <row r="456" spans="1:38" s="141" customFormat="1" ht="17.25" customHeight="1">
      <c r="A456" s="1558" t="s">
        <v>10</v>
      </c>
      <c r="B456" s="1559"/>
      <c r="C456" s="1559"/>
      <c r="D456" s="1560"/>
      <c r="E456" s="1206">
        <f>SUM(E450:I455)</f>
        <v>6301500000</v>
      </c>
      <c r="F456" s="1165"/>
      <c r="G456" s="1165"/>
      <c r="H456" s="1165"/>
      <c r="I456" s="1166"/>
      <c r="J456" s="1206">
        <f>SUM(J450:N455)</f>
        <v>6256955760</v>
      </c>
      <c r="K456" s="1165"/>
      <c r="L456" s="1165"/>
      <c r="M456" s="1165"/>
      <c r="N456" s="1166"/>
      <c r="O456" s="1206">
        <f>SUM(O450:S455)</f>
        <v>2465841000</v>
      </c>
      <c r="P456" s="1165"/>
      <c r="Q456" s="1165"/>
      <c r="R456" s="1165"/>
      <c r="S456" s="1166"/>
      <c r="T456" s="1351">
        <f>(J456-O456)/O456*100</f>
        <v>153.74530474592646</v>
      </c>
      <c r="U456" s="1352"/>
      <c r="V456" s="1041">
        <f t="shared" si="19"/>
        <v>99.29311687693406</v>
      </c>
      <c r="W456" s="1042"/>
      <c r="X456" s="1042"/>
      <c r="Y456" s="1045">
        <f t="shared" si="17"/>
        <v>44544240</v>
      </c>
      <c r="Z456" s="1046"/>
      <c r="AA456" s="1046"/>
      <c r="AB456" s="1046"/>
      <c r="AC456" s="1045">
        <f t="shared" si="18"/>
        <v>3791114760</v>
      </c>
      <c r="AD456" s="1046"/>
      <c r="AE456" s="1046"/>
      <c r="AF456" s="1046"/>
      <c r="AG456" s="716"/>
      <c r="AH456" s="716"/>
      <c r="AI456" s="79"/>
      <c r="AJ456" s="717"/>
      <c r="AK456" s="717"/>
      <c r="AL456" s="717"/>
    </row>
    <row r="457" spans="1:22" s="141" customFormat="1" ht="6.75" customHeight="1">
      <c r="A457" s="650"/>
      <c r="B457" s="52"/>
      <c r="C457" s="52"/>
      <c r="D457" s="692"/>
      <c r="E457" s="37"/>
      <c r="F457" s="37"/>
      <c r="G457" s="37"/>
      <c r="H457" s="37"/>
      <c r="I457" s="37"/>
      <c r="J457" s="37"/>
      <c r="K457" s="37"/>
      <c r="L457" s="37"/>
      <c r="M457" s="37"/>
      <c r="N457" s="37"/>
      <c r="O457" s="37"/>
      <c r="P457" s="37"/>
      <c r="Q457" s="37"/>
      <c r="R457" s="37"/>
      <c r="S457" s="37"/>
      <c r="T457" s="654"/>
      <c r="U457" s="654"/>
      <c r="V457" s="52"/>
    </row>
    <row r="458" spans="1:22" s="141" customFormat="1" ht="15.75" customHeight="1">
      <c r="A458" s="650"/>
      <c r="B458" s="52"/>
      <c r="D458" s="644" t="s">
        <v>7</v>
      </c>
      <c r="E458" s="644" t="s">
        <v>31</v>
      </c>
      <c r="F458" s="644"/>
      <c r="G458" s="644"/>
      <c r="H458" s="644"/>
      <c r="I458" s="644"/>
      <c r="J458" s="52"/>
      <c r="K458" s="52"/>
      <c r="L458" s="38"/>
      <c r="M458" s="38"/>
      <c r="N458" s="38"/>
      <c r="O458" s="38"/>
      <c r="P458" s="38"/>
      <c r="Q458" s="38"/>
      <c r="R458" s="38"/>
      <c r="S458" s="38"/>
      <c r="T458" s="655"/>
      <c r="U458" s="655"/>
      <c r="V458" s="52"/>
    </row>
    <row r="459" spans="1:22" s="141" customFormat="1" ht="73.5" customHeight="1">
      <c r="A459" s="650"/>
      <c r="E459" s="1091" t="str">
        <f>"Belanja Modal Tanah TA "&amp;'2.ISIAN DATA SKPD'!D11&amp;"  dapat terealisasi sebesar Rp. 0 atau mencapai 0 % dari anggaran yang ditetapkan sebesar Rp. 0, kurang dari anggaran sebesar Rp. 0. Bila dibandingkan dengan TA "&amp;'2.ISIAN DATA SKPD'!D12&amp;" mengalami kenaikan/ penurunan sebesar Rp. 0 atau 0% ."</f>
        <v>Belanja Modal Tanah TA 2017  dapat terealisasi sebesar Rp. 0 atau mencapai 0 % dari anggaran yang ditetapkan sebesar Rp. 0, kurang dari anggaran sebesar Rp. 0. Bila dibandingkan dengan TA 2016 mengalami kenaikan/ penurunan sebesar Rp. 0 atau 0% .</v>
      </c>
      <c r="F459" s="1091"/>
      <c r="G459" s="1091"/>
      <c r="H459" s="1091"/>
      <c r="I459" s="1091"/>
      <c r="J459" s="1091"/>
      <c r="K459" s="1091"/>
      <c r="L459" s="1091"/>
      <c r="M459" s="1091"/>
      <c r="N459" s="1091"/>
      <c r="O459" s="1091"/>
      <c r="P459" s="1091"/>
      <c r="Q459" s="1091"/>
      <c r="R459" s="1091"/>
      <c r="S459" s="1091"/>
      <c r="T459" s="1091"/>
      <c r="U459" s="1091"/>
      <c r="V459" s="52"/>
    </row>
    <row r="460" spans="1:22" s="141" customFormat="1" ht="18" customHeight="1">
      <c r="A460" s="650"/>
      <c r="E460" s="1168" t="s">
        <v>1520</v>
      </c>
      <c r="F460" s="1168"/>
      <c r="G460" s="1168"/>
      <c r="H460" s="1168"/>
      <c r="I460" s="1168"/>
      <c r="J460" s="1168"/>
      <c r="K460" s="1168"/>
      <c r="L460" s="1168"/>
      <c r="M460" s="1168"/>
      <c r="N460" s="1168"/>
      <c r="O460" s="1168"/>
      <c r="P460" s="1168"/>
      <c r="Q460" s="1168"/>
      <c r="R460" s="1168"/>
      <c r="S460" s="1168"/>
      <c r="T460" s="1168"/>
      <c r="U460" s="1168"/>
      <c r="V460" s="52"/>
    </row>
    <row r="461" spans="1:22" s="141" customFormat="1" ht="6.75" customHeight="1">
      <c r="A461" s="650"/>
      <c r="C461" s="718"/>
      <c r="D461" s="718"/>
      <c r="E461" s="718"/>
      <c r="F461" s="718"/>
      <c r="G461" s="718"/>
      <c r="H461" s="718"/>
      <c r="I461" s="718"/>
      <c r="J461" s="718"/>
      <c r="K461" s="718"/>
      <c r="L461" s="718"/>
      <c r="M461" s="718"/>
      <c r="N461" s="718"/>
      <c r="O461" s="718"/>
      <c r="P461" s="718"/>
      <c r="Q461" s="718"/>
      <c r="R461" s="718"/>
      <c r="S461" s="718"/>
      <c r="T461" s="718"/>
      <c r="U461" s="718"/>
      <c r="V461" s="52"/>
    </row>
    <row r="462" spans="1:22" s="141" customFormat="1" ht="21" customHeight="1">
      <c r="A462" s="650"/>
      <c r="B462" s="1088" t="str">
        <f>"Perbandingan Realisasi Belanja Modal Tanah TA "&amp;'2.ISIAN DATA SKPD'!D11&amp;" dan "&amp;'2.ISIAN DATA SKPD'!D12&amp;""</f>
        <v>Perbandingan Realisasi Belanja Modal Tanah TA 2017 dan 2016</v>
      </c>
      <c r="C462" s="1088"/>
      <c r="D462" s="1088"/>
      <c r="E462" s="1088"/>
      <c r="F462" s="1088"/>
      <c r="G462" s="1088"/>
      <c r="H462" s="1088"/>
      <c r="I462" s="1088"/>
      <c r="J462" s="1088"/>
      <c r="K462" s="1088"/>
      <c r="L462" s="1088"/>
      <c r="M462" s="1088"/>
      <c r="N462" s="1088"/>
      <c r="O462" s="1088"/>
      <c r="P462" s="1088"/>
      <c r="Q462" s="1088"/>
      <c r="R462" s="1088"/>
      <c r="S462" s="1088"/>
      <c r="T462" s="1088"/>
      <c r="U462" s="1088"/>
      <c r="V462" s="52"/>
    </row>
    <row r="463" spans="1:32" s="141" customFormat="1" ht="24.75" customHeight="1">
      <c r="A463" s="1244" t="s">
        <v>31</v>
      </c>
      <c r="B463" s="1244"/>
      <c r="C463" s="1244"/>
      <c r="D463" s="1244"/>
      <c r="E463" s="1244" t="s">
        <v>80</v>
      </c>
      <c r="F463" s="1244"/>
      <c r="G463" s="1244"/>
      <c r="H463" s="1244"/>
      <c r="I463" s="1244"/>
      <c r="J463" s="1245" t="str">
        <f>J449</f>
        <v>Realisasi                      TA 2017</v>
      </c>
      <c r="K463" s="1246"/>
      <c r="L463" s="1246"/>
      <c r="M463" s="1246"/>
      <c r="N463" s="1247"/>
      <c r="O463" s="1245" t="str">
        <f>O449</f>
        <v>Realisasi                   TA 2016</v>
      </c>
      <c r="P463" s="1246"/>
      <c r="Q463" s="1246"/>
      <c r="R463" s="1246"/>
      <c r="S463" s="1247"/>
      <c r="T463" s="1345" t="s">
        <v>1207</v>
      </c>
      <c r="U463" s="1346"/>
      <c r="V463" s="1041" t="s">
        <v>1673</v>
      </c>
      <c r="W463" s="1042"/>
      <c r="X463" s="1042"/>
      <c r="Y463" s="1043" t="s">
        <v>1674</v>
      </c>
      <c r="Z463" s="1044"/>
      <c r="AA463" s="1044"/>
      <c r="AB463" s="1044" t="s">
        <v>1673</v>
      </c>
      <c r="AC463" s="1043" t="s">
        <v>1675</v>
      </c>
      <c r="AD463" s="1044"/>
      <c r="AE463" s="1044"/>
      <c r="AF463" s="1044"/>
    </row>
    <row r="464" spans="1:32" s="141" customFormat="1" ht="27.75" customHeight="1">
      <c r="A464" s="1702" t="str">
        <f>'3.LRA'!C70</f>
        <v>Belanja Modal Tanah Bangunan Gedung</v>
      </c>
      <c r="B464" s="1702"/>
      <c r="C464" s="1702"/>
      <c r="D464" s="1702"/>
      <c r="E464" s="1502">
        <f>'3.LRA'!D70</f>
        <v>0</v>
      </c>
      <c r="F464" s="1086"/>
      <c r="G464" s="1086"/>
      <c r="H464" s="1086"/>
      <c r="I464" s="1086"/>
      <c r="J464" s="1502">
        <f>'3.LRA'!E70</f>
        <v>0</v>
      </c>
      <c r="K464" s="1086"/>
      <c r="L464" s="1086"/>
      <c r="M464" s="1086"/>
      <c r="N464" s="1086"/>
      <c r="O464" s="1697">
        <v>0</v>
      </c>
      <c r="P464" s="1698"/>
      <c r="Q464" s="1698"/>
      <c r="R464" s="1698"/>
      <c r="S464" s="1699"/>
      <c r="T464" s="1363">
        <v>0</v>
      </c>
      <c r="U464" s="1364"/>
      <c r="V464" s="1041" t="e">
        <f>J464/E464*100</f>
        <v>#DIV/0!</v>
      </c>
      <c r="W464" s="1042"/>
      <c r="X464" s="1042"/>
      <c r="Y464" s="1045">
        <f>E464-J464</f>
        <v>0</v>
      </c>
      <c r="Z464" s="1046"/>
      <c r="AA464" s="1046"/>
      <c r="AB464" s="1046"/>
      <c r="AC464" s="1045">
        <f>J464-O464</f>
        <v>0</v>
      </c>
      <c r="AD464" s="1046"/>
      <c r="AE464" s="1046"/>
      <c r="AF464" s="1046"/>
    </row>
    <row r="465" spans="1:32" s="141" customFormat="1" ht="34.5" customHeight="1">
      <c r="A465" s="1702" t="str">
        <f>'3.LRA'!C71</f>
        <v>Belanja Modal Tanah Bangunan Bukan Gedung</v>
      </c>
      <c r="B465" s="1044"/>
      <c r="C465" s="1044"/>
      <c r="D465" s="1044"/>
      <c r="E465" s="1502">
        <f>'3.LRA'!D71</f>
        <v>0</v>
      </c>
      <c r="F465" s="1086"/>
      <c r="G465" s="1086"/>
      <c r="H465" s="1086"/>
      <c r="I465" s="1086"/>
      <c r="J465" s="1502">
        <f>'3.LRA'!E71</f>
        <v>0</v>
      </c>
      <c r="K465" s="1086"/>
      <c r="L465" s="1086"/>
      <c r="M465" s="1086"/>
      <c r="N465" s="1086"/>
      <c r="O465" s="1697">
        <f>'3.LRA'!I71</f>
        <v>0</v>
      </c>
      <c r="P465" s="1698"/>
      <c r="Q465" s="1698"/>
      <c r="R465" s="1698"/>
      <c r="S465" s="1699"/>
      <c r="T465" s="1363">
        <v>0</v>
      </c>
      <c r="U465" s="1364"/>
      <c r="V465" s="1041" t="e">
        <f>J465/E465*100</f>
        <v>#DIV/0!</v>
      </c>
      <c r="W465" s="1042"/>
      <c r="X465" s="1042"/>
      <c r="Y465" s="1045">
        <f>E465-J465</f>
        <v>0</v>
      </c>
      <c r="Z465" s="1046"/>
      <c r="AA465" s="1046"/>
      <c r="AB465" s="1046"/>
      <c r="AC465" s="1045">
        <f>J465-O465</f>
        <v>0</v>
      </c>
      <c r="AD465" s="1046"/>
      <c r="AE465" s="1046"/>
      <c r="AF465" s="1046"/>
    </row>
    <row r="466" spans="1:32" s="141" customFormat="1" ht="25.5" customHeight="1">
      <c r="A466" s="1244" t="s">
        <v>10</v>
      </c>
      <c r="B466" s="1244"/>
      <c r="C466" s="1244"/>
      <c r="D466" s="1244"/>
      <c r="E466" s="1206">
        <f>SUM(E464:I465)</f>
        <v>0</v>
      </c>
      <c r="F466" s="1165"/>
      <c r="G466" s="1165"/>
      <c r="H466" s="1165"/>
      <c r="I466" s="1166"/>
      <c r="J466" s="1206">
        <f>SUM(J464:N465)</f>
        <v>0</v>
      </c>
      <c r="K466" s="1165"/>
      <c r="L466" s="1165"/>
      <c r="M466" s="1165"/>
      <c r="N466" s="1166"/>
      <c r="O466" s="1206">
        <v>0</v>
      </c>
      <c r="P466" s="1165"/>
      <c r="Q466" s="1165"/>
      <c r="R466" s="1165"/>
      <c r="S466" s="1166"/>
      <c r="T466" s="1363">
        <v>0</v>
      </c>
      <c r="U466" s="1364"/>
      <c r="V466" s="1041" t="e">
        <f>J466/E466*100</f>
        <v>#DIV/0!</v>
      </c>
      <c r="W466" s="1042"/>
      <c r="X466" s="1042"/>
      <c r="Y466" s="1045">
        <f>E466-J466</f>
        <v>0</v>
      </c>
      <c r="Z466" s="1046"/>
      <c r="AA466" s="1046"/>
      <c r="AB466" s="1046"/>
      <c r="AC466" s="1045">
        <f>J466-O466</f>
        <v>0</v>
      </c>
      <c r="AD466" s="1046"/>
      <c r="AE466" s="1046"/>
      <c r="AF466" s="1046"/>
    </row>
    <row r="467" spans="1:22" s="141" customFormat="1" ht="8.25" customHeight="1">
      <c r="A467" s="650"/>
      <c r="B467" s="52"/>
      <c r="C467" s="52"/>
      <c r="D467" s="692"/>
      <c r="E467" s="37"/>
      <c r="F467" s="37"/>
      <c r="G467" s="37"/>
      <c r="H467" s="37"/>
      <c r="I467" s="37"/>
      <c r="J467" s="37"/>
      <c r="K467" s="37"/>
      <c r="L467" s="37"/>
      <c r="M467" s="37"/>
      <c r="N467" s="37"/>
      <c r="O467" s="37"/>
      <c r="P467" s="37"/>
      <c r="Q467" s="37"/>
      <c r="R467" s="37"/>
      <c r="S467" s="37"/>
      <c r="T467" s="654"/>
      <c r="U467" s="654"/>
      <c r="V467" s="52"/>
    </row>
    <row r="468" spans="1:22" s="141" customFormat="1" ht="15.75" customHeight="1">
      <c r="A468" s="650"/>
      <c r="B468" s="52"/>
      <c r="C468" s="52"/>
      <c r="D468" s="719"/>
      <c r="E468" s="720" t="s">
        <v>15</v>
      </c>
      <c r="F468" s="1701" t="s">
        <v>1522</v>
      </c>
      <c r="G468" s="1701"/>
      <c r="H468" s="1701"/>
      <c r="I468" s="1701"/>
      <c r="J468" s="1701"/>
      <c r="K468" s="1701"/>
      <c r="L468" s="1701"/>
      <c r="M468" s="1701"/>
      <c r="N468" s="1701"/>
      <c r="O468" s="1701"/>
      <c r="P468" s="1701"/>
      <c r="Q468" s="1701"/>
      <c r="R468" s="1701"/>
      <c r="S468" s="1701"/>
      <c r="T468" s="1701"/>
      <c r="U468" s="1701"/>
      <c r="V468" s="52"/>
    </row>
    <row r="469" spans="1:22" s="141" customFormat="1" ht="14.25" customHeight="1">
      <c r="A469" s="650"/>
      <c r="B469" s="52"/>
      <c r="C469" s="52"/>
      <c r="D469" s="719"/>
      <c r="E469" s="720"/>
      <c r="F469" s="1700" t="s">
        <v>1575</v>
      </c>
      <c r="G469" s="1700"/>
      <c r="H469" s="1700"/>
      <c r="I469" s="1700"/>
      <c r="J469" s="1700"/>
      <c r="K469" s="1700"/>
      <c r="L469" s="1700"/>
      <c r="M469" s="1700"/>
      <c r="N469" s="1700"/>
      <c r="O469" s="1700"/>
      <c r="P469" s="1700"/>
      <c r="Q469" s="1700"/>
      <c r="R469" s="1700"/>
      <c r="S469" s="1700"/>
      <c r="T469" s="1700"/>
      <c r="U469" s="1700"/>
      <c r="V469" s="52"/>
    </row>
    <row r="470" spans="1:22" s="141" customFormat="1" ht="6" customHeight="1">
      <c r="A470" s="650"/>
      <c r="B470" s="52"/>
      <c r="C470" s="52"/>
      <c r="D470" s="719"/>
      <c r="E470" s="720"/>
      <c r="F470" s="720"/>
      <c r="G470" s="720"/>
      <c r="H470" s="720"/>
      <c r="I470" s="720"/>
      <c r="J470" s="720"/>
      <c r="K470" s="720"/>
      <c r="L470" s="720"/>
      <c r="M470" s="720"/>
      <c r="N470" s="720"/>
      <c r="O470" s="720"/>
      <c r="P470" s="720"/>
      <c r="Q470" s="720"/>
      <c r="R470" s="720"/>
      <c r="S470" s="720"/>
      <c r="T470" s="720"/>
      <c r="U470" s="720"/>
      <c r="V470" s="52"/>
    </row>
    <row r="471" spans="1:22" s="141" customFormat="1" ht="15.75" customHeight="1">
      <c r="A471" s="650"/>
      <c r="B471" s="52"/>
      <c r="C471" s="52"/>
      <c r="D471" s="719"/>
      <c r="E471" s="721" t="s">
        <v>16</v>
      </c>
      <c r="F471" s="1432" t="s">
        <v>1521</v>
      </c>
      <c r="G471" s="1432"/>
      <c r="H471" s="1432"/>
      <c r="I471" s="1432"/>
      <c r="J471" s="1432"/>
      <c r="K471" s="1432"/>
      <c r="L471" s="1432"/>
      <c r="M471" s="1432"/>
      <c r="N471" s="1432"/>
      <c r="O471" s="1432"/>
      <c r="P471" s="1432"/>
      <c r="Q471" s="1432"/>
      <c r="R471" s="1432"/>
      <c r="S471" s="1432"/>
      <c r="T471" s="1432"/>
      <c r="U471" s="1432"/>
      <c r="V471" s="52"/>
    </row>
    <row r="472" spans="1:22" s="141" customFormat="1" ht="12.75" customHeight="1">
      <c r="A472" s="650"/>
      <c r="B472" s="52"/>
      <c r="C472" s="52"/>
      <c r="D472" s="722"/>
      <c r="E472" s="721"/>
      <c r="F472" s="1700" t="s">
        <v>1575</v>
      </c>
      <c r="G472" s="1700"/>
      <c r="H472" s="1700"/>
      <c r="I472" s="1700"/>
      <c r="J472" s="1700"/>
      <c r="K472" s="1700"/>
      <c r="L472" s="1700"/>
      <c r="M472" s="1700"/>
      <c r="N472" s="1700"/>
      <c r="O472" s="1700"/>
      <c r="P472" s="1700"/>
      <c r="Q472" s="1700"/>
      <c r="R472" s="1700"/>
      <c r="S472" s="1700"/>
      <c r="T472" s="1700"/>
      <c r="U472" s="1700"/>
      <c r="V472" s="52"/>
    </row>
    <row r="473" spans="1:22" s="141" customFormat="1" ht="55.5" customHeight="1">
      <c r="A473" s="650"/>
      <c r="B473" s="52"/>
      <c r="C473" s="52"/>
      <c r="D473" s="722"/>
      <c r="E473" s="721"/>
      <c r="F473" s="723"/>
      <c r="G473" s="723"/>
      <c r="H473" s="723"/>
      <c r="I473" s="723"/>
      <c r="J473" s="723"/>
      <c r="K473" s="723"/>
      <c r="L473" s="723"/>
      <c r="M473" s="723"/>
      <c r="N473" s="723"/>
      <c r="O473" s="723"/>
      <c r="P473" s="723"/>
      <c r="Q473" s="723"/>
      <c r="R473" s="723"/>
      <c r="S473" s="723"/>
      <c r="T473" s="723"/>
      <c r="U473" s="723"/>
      <c r="V473" s="52"/>
    </row>
    <row r="474" spans="1:22" s="141" customFormat="1" ht="22.5" customHeight="1">
      <c r="A474" s="650"/>
      <c r="B474" s="52"/>
      <c r="D474" s="115" t="s">
        <v>8</v>
      </c>
      <c r="E474" s="115" t="s">
        <v>32</v>
      </c>
      <c r="F474" s="115"/>
      <c r="G474" s="52"/>
      <c r="H474" s="52"/>
      <c r="I474" s="52"/>
      <c r="J474" s="52"/>
      <c r="K474" s="52"/>
      <c r="L474" s="38"/>
      <c r="M474" s="38"/>
      <c r="N474" s="38"/>
      <c r="O474" s="38"/>
      <c r="P474" s="38"/>
      <c r="Q474" s="38"/>
      <c r="R474" s="38"/>
      <c r="S474" s="38"/>
      <c r="T474" s="655"/>
      <c r="U474" s="655"/>
      <c r="V474" s="52"/>
    </row>
    <row r="475" spans="1:38" s="141" customFormat="1" ht="78" customHeight="1">
      <c r="A475" s="650"/>
      <c r="E475" s="1337" t="str">
        <f>"Realisasi Belanja Modal Peralatan dan Mesin TA "&amp;'2.ISIAN DATA SKPD'!D11&amp;" sebesar Rp. "&amp;FIXED(J488)&amp;", atau mencapai sebesar "&amp;FIXED(V488)&amp;"% dari anggaran sebesar Rp. "&amp;FIXED(E488)&amp;".    Bila dibandingkan dengan realisasi TA "&amp;'2.ISIAN DATA SKPD'!D12&amp;" sebesar "&amp;FIXED(O488)&amp;" naik sebesar Rp. "&amp;FIXED(AC488)&amp;" atau "&amp;FIXED(T488)&amp;"%."</f>
        <v>Realisasi Belanja Modal Peralatan dan Mesin TA 2017 sebesar Rp. 190,286,160.00, atau mencapai sebesar 95.14% dari anggaran sebesar Rp. 200,000,000.00.    Bila dibandingkan dengan realisasi TA 2016 sebesar 0.00 naik sebesar Rp. 190,286,160.00 atau 0.00%.</v>
      </c>
      <c r="F475" s="1337"/>
      <c r="G475" s="1337"/>
      <c r="H475" s="1337"/>
      <c r="I475" s="1337"/>
      <c r="J475" s="1337"/>
      <c r="K475" s="1337"/>
      <c r="L475" s="1337"/>
      <c r="M475" s="1337"/>
      <c r="N475" s="1337"/>
      <c r="O475" s="1337"/>
      <c r="P475" s="1337"/>
      <c r="Q475" s="1337"/>
      <c r="R475" s="1337"/>
      <c r="S475" s="1337"/>
      <c r="T475" s="1337"/>
      <c r="U475" s="1337"/>
      <c r="V475" s="1337"/>
      <c r="W475" s="1337"/>
      <c r="X475" s="1337"/>
      <c r="Y475" s="1337"/>
      <c r="Z475" s="1337"/>
      <c r="AA475" s="1337"/>
      <c r="AB475" s="1337"/>
      <c r="AC475" s="1337"/>
      <c r="AD475" s="1337"/>
      <c r="AE475" s="1337"/>
      <c r="AF475" s="1337"/>
      <c r="AG475" s="1337"/>
      <c r="AH475" s="1337"/>
      <c r="AI475" s="1337"/>
      <c r="AJ475" s="1337"/>
      <c r="AK475" s="1337"/>
      <c r="AL475" s="1337"/>
    </row>
    <row r="476" spans="1:22" s="141" customFormat="1" ht="0.75" customHeight="1">
      <c r="A476" s="650"/>
      <c r="C476" s="654"/>
      <c r="D476" s="654"/>
      <c r="E476" s="654"/>
      <c r="F476" s="654"/>
      <c r="G476" s="654"/>
      <c r="H476" s="654"/>
      <c r="I476" s="654"/>
      <c r="J476" s="654"/>
      <c r="K476" s="654"/>
      <c r="L476" s="654"/>
      <c r="M476" s="654"/>
      <c r="N476" s="654"/>
      <c r="O476" s="654"/>
      <c r="P476" s="654"/>
      <c r="Q476" s="654"/>
      <c r="R476" s="654"/>
      <c r="S476" s="654"/>
      <c r="T476" s="654"/>
      <c r="U476" s="654"/>
      <c r="V476" s="52"/>
    </row>
    <row r="477" spans="1:38" s="141" customFormat="1" ht="33.75" customHeight="1">
      <c r="A477" s="650"/>
      <c r="B477" s="1436" t="str">
        <f>"Perbandingan Realisasi Belanja Modal Perlatan dan Mesin                                      TA "&amp;'2.ISIAN DATA SKPD'!D11&amp;" dan "&amp;'2.ISIAN DATA SKPD'!D12&amp;""</f>
        <v>Perbandingan Realisasi Belanja Modal Perlatan dan Mesin                                      TA 2017 dan 2016</v>
      </c>
      <c r="C477" s="1436"/>
      <c r="D477" s="1436"/>
      <c r="E477" s="1436"/>
      <c r="F477" s="1436"/>
      <c r="G477" s="1436"/>
      <c r="H477" s="1436"/>
      <c r="I477" s="1436"/>
      <c r="J477" s="1436"/>
      <c r="K477" s="1436"/>
      <c r="L477" s="1436"/>
      <c r="M477" s="1436"/>
      <c r="N477" s="1436"/>
      <c r="O477" s="1436"/>
      <c r="P477" s="1436"/>
      <c r="Q477" s="1436"/>
      <c r="R477" s="1436"/>
      <c r="S477" s="1436"/>
      <c r="T477" s="1436"/>
      <c r="U477" s="1436"/>
      <c r="V477" s="1091"/>
      <c r="W477" s="1091"/>
      <c r="X477" s="1091"/>
      <c r="Y477" s="1091"/>
      <c r="Z477" s="1091"/>
      <c r="AA477" s="1091"/>
      <c r="AB477" s="1091"/>
      <c r="AC477" s="1091"/>
      <c r="AD477" s="1091"/>
      <c r="AE477" s="1091"/>
      <c r="AF477" s="1091"/>
      <c r="AG477" s="1091"/>
      <c r="AH477" s="1091"/>
      <c r="AI477" s="1091"/>
      <c r="AJ477" s="1091"/>
      <c r="AK477" s="1091"/>
      <c r="AL477" s="1091"/>
    </row>
    <row r="478" spans="1:32" s="141" customFormat="1" ht="32.25" customHeight="1">
      <c r="A478" s="1244" t="s">
        <v>32</v>
      </c>
      <c r="B478" s="1244"/>
      <c r="C478" s="1244"/>
      <c r="D478" s="1244"/>
      <c r="E478" s="1244" t="s">
        <v>80</v>
      </c>
      <c r="F478" s="1244"/>
      <c r="G478" s="1244"/>
      <c r="H478" s="1244"/>
      <c r="I478" s="1244"/>
      <c r="J478" s="1245" t="str">
        <f>J463</f>
        <v>Realisasi                      TA 2017</v>
      </c>
      <c r="K478" s="1246"/>
      <c r="L478" s="1246"/>
      <c r="M478" s="1246"/>
      <c r="N478" s="1247"/>
      <c r="O478" s="1245" t="str">
        <f>O449</f>
        <v>Realisasi                   TA 2016</v>
      </c>
      <c r="P478" s="1246"/>
      <c r="Q478" s="1246"/>
      <c r="R478" s="1246"/>
      <c r="S478" s="1247"/>
      <c r="T478" s="1345" t="s">
        <v>1207</v>
      </c>
      <c r="U478" s="1346"/>
      <c r="V478" s="1087" t="s">
        <v>1673</v>
      </c>
      <c r="W478" s="1100"/>
      <c r="X478" s="1100"/>
      <c r="Y478" s="1092" t="s">
        <v>1674</v>
      </c>
      <c r="Z478" s="1046"/>
      <c r="AA478" s="1046"/>
      <c r="AB478" s="1046" t="s">
        <v>1673</v>
      </c>
      <c r="AC478" s="1092" t="s">
        <v>1675</v>
      </c>
      <c r="AD478" s="1046"/>
      <c r="AE478" s="1046"/>
      <c r="AF478" s="1046"/>
    </row>
    <row r="479" spans="1:32" s="141" customFormat="1" ht="20.25" customHeight="1">
      <c r="A479" s="1365" t="str">
        <f>'3.LRA'!C73</f>
        <v>Pengadaan Alat Bantu</v>
      </c>
      <c r="B479" s="1365"/>
      <c r="C479" s="1365"/>
      <c r="D479" s="1365"/>
      <c r="E479" s="1357">
        <f>'3.LRA'!D73</f>
        <v>0</v>
      </c>
      <c r="F479" s="1358"/>
      <c r="G479" s="1358"/>
      <c r="H479" s="1358"/>
      <c r="I479" s="1358"/>
      <c r="J479" s="1357">
        <f>'3.LRA'!E73</f>
        <v>0</v>
      </c>
      <c r="K479" s="1358"/>
      <c r="L479" s="1358"/>
      <c r="M479" s="1358"/>
      <c r="N479" s="1358"/>
      <c r="O479" s="1357">
        <v>0</v>
      </c>
      <c r="P479" s="1358"/>
      <c r="Q479" s="1358"/>
      <c r="R479" s="1358"/>
      <c r="S479" s="1358"/>
      <c r="T479" s="1363">
        <v>0</v>
      </c>
      <c r="U479" s="1364"/>
      <c r="V479" s="1041" t="e">
        <f>J479/E479*100</f>
        <v>#DIV/0!</v>
      </c>
      <c r="W479" s="1042"/>
      <c r="X479" s="1042"/>
      <c r="Y479" s="1045">
        <f>E479-J479</f>
        <v>0</v>
      </c>
      <c r="Z479" s="1046"/>
      <c r="AA479" s="1046"/>
      <c r="AB479" s="1046"/>
      <c r="AC479" s="1045">
        <f>J479-O479</f>
        <v>0</v>
      </c>
      <c r="AD479" s="1046"/>
      <c r="AE479" s="1046"/>
      <c r="AF479" s="1046"/>
    </row>
    <row r="480" spans="1:32" s="141" customFormat="1" ht="18" customHeight="1">
      <c r="A480" s="1365" t="str">
        <f>'3.LRA'!C74</f>
        <v>Pengadaan Alat Angkutan</v>
      </c>
      <c r="B480" s="1365"/>
      <c r="C480" s="1365"/>
      <c r="D480" s="1365"/>
      <c r="E480" s="1357">
        <f>'3.LRA'!D74</f>
        <v>0</v>
      </c>
      <c r="F480" s="1358"/>
      <c r="G480" s="1358"/>
      <c r="H480" s="1358"/>
      <c r="I480" s="1358"/>
      <c r="J480" s="1357">
        <f>'3.LRA'!E74</f>
        <v>0</v>
      </c>
      <c r="K480" s="1358"/>
      <c r="L480" s="1358"/>
      <c r="M480" s="1358"/>
      <c r="N480" s="1358"/>
      <c r="O480" s="1357">
        <f>'3.LRA'!I74</f>
        <v>0</v>
      </c>
      <c r="P480" s="1358"/>
      <c r="Q480" s="1358"/>
      <c r="R480" s="1358"/>
      <c r="S480" s="1358"/>
      <c r="T480" s="1363">
        <v>0</v>
      </c>
      <c r="U480" s="1364"/>
      <c r="V480" s="1041" t="e">
        <f aca="true" t="shared" si="20" ref="V480:V488">J480/E480*100</f>
        <v>#DIV/0!</v>
      </c>
      <c r="W480" s="1042"/>
      <c r="X480" s="1042"/>
      <c r="Y480" s="1045">
        <f>E480-J480</f>
        <v>0</v>
      </c>
      <c r="Z480" s="1046"/>
      <c r="AA480" s="1046"/>
      <c r="AB480" s="1046"/>
      <c r="AC480" s="1045">
        <f>J480-O480</f>
        <v>0</v>
      </c>
      <c r="AD480" s="1046"/>
      <c r="AE480" s="1046"/>
      <c r="AF480" s="1046"/>
    </row>
    <row r="481" spans="1:32" s="141" customFormat="1" ht="17.25" customHeight="1">
      <c r="A481" s="1365" t="str">
        <f>'3.LRA'!C75</f>
        <v>Pengadaan Alat Kantor</v>
      </c>
      <c r="B481" s="1365"/>
      <c r="C481" s="1365"/>
      <c r="D481" s="1365"/>
      <c r="E481" s="1357">
        <f>'3.LRA'!D75</f>
        <v>31755000</v>
      </c>
      <c r="F481" s="1358"/>
      <c r="G481" s="1358"/>
      <c r="H481" s="1358"/>
      <c r="I481" s="1358"/>
      <c r="J481" s="1357">
        <f>'3.LRA'!E75</f>
        <v>31709000</v>
      </c>
      <c r="K481" s="1358"/>
      <c r="L481" s="1358"/>
      <c r="M481" s="1358"/>
      <c r="N481" s="1358"/>
      <c r="O481" s="1357">
        <f>'3.LRA'!I75</f>
        <v>0</v>
      </c>
      <c r="P481" s="1358"/>
      <c r="Q481" s="1358"/>
      <c r="R481" s="1358"/>
      <c r="S481" s="1358"/>
      <c r="T481" s="1363">
        <v>0</v>
      </c>
      <c r="U481" s="1364"/>
      <c r="V481" s="1041">
        <f t="shared" si="20"/>
        <v>99.85514092268934</v>
      </c>
      <c r="W481" s="1042"/>
      <c r="X481" s="1042"/>
      <c r="Y481" s="1045">
        <f>E481-J481</f>
        <v>46000</v>
      </c>
      <c r="Z481" s="1046"/>
      <c r="AA481" s="1046"/>
      <c r="AB481" s="1046"/>
      <c r="AC481" s="1045">
        <f>J481-O481</f>
        <v>31709000</v>
      </c>
      <c r="AD481" s="1046"/>
      <c r="AE481" s="1046"/>
      <c r="AF481" s="1046"/>
    </row>
    <row r="482" spans="1:32" s="141" customFormat="1" ht="31.5" customHeight="1">
      <c r="A482" s="1365" t="str">
        <f>'3.LRA'!C76</f>
        <v>Pengadaan Alat Rumah Tangga</v>
      </c>
      <c r="B482" s="1400"/>
      <c r="C482" s="1400"/>
      <c r="D482" s="1400"/>
      <c r="E482" s="1357">
        <f>'3.LRA'!D76</f>
        <v>61829000</v>
      </c>
      <c r="F482" s="1358"/>
      <c r="G482" s="1358"/>
      <c r="H482" s="1358"/>
      <c r="I482" s="1358"/>
      <c r="J482" s="1357">
        <f>'3.LRA'!E76</f>
        <v>61308000</v>
      </c>
      <c r="K482" s="1358"/>
      <c r="L482" s="1358"/>
      <c r="M482" s="1358"/>
      <c r="N482" s="1358"/>
      <c r="O482" s="1357">
        <f>'3.LRA'!I76</f>
        <v>0</v>
      </c>
      <c r="P482" s="1358"/>
      <c r="Q482" s="1358"/>
      <c r="R482" s="1358"/>
      <c r="S482" s="1358"/>
      <c r="T482" s="1363">
        <v>0</v>
      </c>
      <c r="U482" s="1364"/>
      <c r="V482" s="1041">
        <f t="shared" si="20"/>
        <v>99.15735334551748</v>
      </c>
      <c r="W482" s="1042"/>
      <c r="X482" s="1042"/>
      <c r="Y482" s="1045">
        <f aca="true" t="shared" si="21" ref="Y482:Y488">E482-J482</f>
        <v>521000</v>
      </c>
      <c r="Z482" s="1046"/>
      <c r="AA482" s="1046"/>
      <c r="AB482" s="1046"/>
      <c r="AC482" s="1045">
        <f aca="true" t="shared" si="22" ref="AC482:AC488">J482-O482</f>
        <v>61308000</v>
      </c>
      <c r="AD482" s="1046"/>
      <c r="AE482" s="1046"/>
      <c r="AF482" s="1046"/>
    </row>
    <row r="483" spans="1:32" s="141" customFormat="1" ht="17.25" customHeight="1">
      <c r="A483" s="1365" t="str">
        <f>'3.LRA'!C77</f>
        <v>Pengadaan Komputer</v>
      </c>
      <c r="B483" s="1400"/>
      <c r="C483" s="1400"/>
      <c r="D483" s="1400"/>
      <c r="E483" s="1357">
        <f>'3.LRA'!D77</f>
        <v>82819000</v>
      </c>
      <c r="F483" s="1358"/>
      <c r="G483" s="1358"/>
      <c r="H483" s="1358"/>
      <c r="I483" s="1358"/>
      <c r="J483" s="1357">
        <f>'3.LRA'!E77</f>
        <v>80839160</v>
      </c>
      <c r="K483" s="1358"/>
      <c r="L483" s="1358"/>
      <c r="M483" s="1358"/>
      <c r="N483" s="1358"/>
      <c r="O483" s="1357">
        <f>'3.LRA'!I77</f>
        <v>0</v>
      </c>
      <c r="P483" s="1358"/>
      <c r="Q483" s="1358"/>
      <c r="R483" s="1358"/>
      <c r="S483" s="1358"/>
      <c r="T483" s="1363">
        <v>0</v>
      </c>
      <c r="U483" s="1364"/>
      <c r="V483" s="1041">
        <f t="shared" si="20"/>
        <v>97.60943744792861</v>
      </c>
      <c r="W483" s="1042"/>
      <c r="X483" s="1042"/>
      <c r="Y483" s="1045">
        <f t="shared" si="21"/>
        <v>1979840</v>
      </c>
      <c r="Z483" s="1046"/>
      <c r="AA483" s="1046"/>
      <c r="AB483" s="1046"/>
      <c r="AC483" s="1045">
        <f t="shared" si="22"/>
        <v>80839160</v>
      </c>
      <c r="AD483" s="1046"/>
      <c r="AE483" s="1046"/>
      <c r="AF483" s="1046"/>
    </row>
    <row r="484" spans="1:32" s="141" customFormat="1" ht="17.25" customHeight="1">
      <c r="A484" s="1365" t="str">
        <f>'3.LRA'!C78</f>
        <v>Pengadaan Alat Studio</v>
      </c>
      <c r="B484" s="1400"/>
      <c r="C484" s="1400"/>
      <c r="D484" s="1400"/>
      <c r="E484" s="1357">
        <f>'3.LRA'!D78</f>
        <v>23597000</v>
      </c>
      <c r="F484" s="1358"/>
      <c r="G484" s="1358"/>
      <c r="H484" s="1358"/>
      <c r="I484" s="1358"/>
      <c r="J484" s="1357">
        <f>'3.LRA'!E78</f>
        <v>16430000</v>
      </c>
      <c r="K484" s="1358"/>
      <c r="L484" s="1358"/>
      <c r="M484" s="1358"/>
      <c r="N484" s="1358"/>
      <c r="O484" s="1357">
        <f>'3.LRA'!I78</f>
        <v>0</v>
      </c>
      <c r="P484" s="1358"/>
      <c r="Q484" s="1358"/>
      <c r="R484" s="1358"/>
      <c r="S484" s="1358"/>
      <c r="T484" s="1363">
        <v>0</v>
      </c>
      <c r="U484" s="1364"/>
      <c r="V484" s="1041">
        <f t="shared" si="20"/>
        <v>69.62749502055347</v>
      </c>
      <c r="W484" s="1042"/>
      <c r="X484" s="1042"/>
      <c r="Y484" s="1045">
        <f t="shared" si="21"/>
        <v>7167000</v>
      </c>
      <c r="Z484" s="1046"/>
      <c r="AA484" s="1046"/>
      <c r="AB484" s="1046"/>
      <c r="AC484" s="1045">
        <f t="shared" si="22"/>
        <v>16430000</v>
      </c>
      <c r="AD484" s="1046"/>
      <c r="AE484" s="1046"/>
      <c r="AF484" s="1046"/>
    </row>
    <row r="485" spans="1:32" s="141" customFormat="1" ht="30" customHeight="1">
      <c r="A485" s="1365" t="str">
        <f>'3.LRA'!C79</f>
        <v>Pengadaan Alat komunikasi</v>
      </c>
      <c r="B485" s="1400"/>
      <c r="C485" s="1400"/>
      <c r="D485" s="1400"/>
      <c r="E485" s="1357">
        <f>'3.LRA'!D79</f>
        <v>0</v>
      </c>
      <c r="F485" s="1358"/>
      <c r="G485" s="1358"/>
      <c r="H485" s="1358"/>
      <c r="I485" s="1358"/>
      <c r="J485" s="1357">
        <f>'3.LRA'!E79</f>
        <v>0</v>
      </c>
      <c r="K485" s="1358"/>
      <c r="L485" s="1358"/>
      <c r="M485" s="1358"/>
      <c r="N485" s="1358"/>
      <c r="O485" s="1357">
        <f>'3.LRA'!I79</f>
        <v>0</v>
      </c>
      <c r="P485" s="1358"/>
      <c r="Q485" s="1358"/>
      <c r="R485" s="1358"/>
      <c r="S485" s="1358"/>
      <c r="T485" s="1363">
        <v>0</v>
      </c>
      <c r="U485" s="1364"/>
      <c r="V485" s="1041" t="e">
        <f t="shared" si="20"/>
        <v>#DIV/0!</v>
      </c>
      <c r="W485" s="1042"/>
      <c r="X485" s="1042"/>
      <c r="Y485" s="1045">
        <f t="shared" si="21"/>
        <v>0</v>
      </c>
      <c r="Z485" s="1046"/>
      <c r="AA485" s="1046"/>
      <c r="AB485" s="1046"/>
      <c r="AC485" s="1045">
        <f t="shared" si="22"/>
        <v>0</v>
      </c>
      <c r="AD485" s="1046"/>
      <c r="AE485" s="1046"/>
      <c r="AF485" s="1046"/>
    </row>
    <row r="486" spans="1:32" s="141" customFormat="1" ht="30" customHeight="1">
      <c r="A486" s="1365" t="str">
        <f>'3.LRA'!C80</f>
        <v>Pengadaan alat Kedokteran</v>
      </c>
      <c r="B486" s="1400"/>
      <c r="C486" s="1400"/>
      <c r="D486" s="1400"/>
      <c r="E486" s="1357">
        <f>'3.LRA'!D80</f>
        <v>0</v>
      </c>
      <c r="F486" s="1358"/>
      <c r="G486" s="1358"/>
      <c r="H486" s="1358"/>
      <c r="I486" s="1358"/>
      <c r="J486" s="1357">
        <f>'3.LRA'!E80</f>
        <v>0</v>
      </c>
      <c r="K486" s="1358"/>
      <c r="L486" s="1358"/>
      <c r="M486" s="1358"/>
      <c r="N486" s="1358"/>
      <c r="O486" s="1357">
        <f>'3.LRA'!I80</f>
        <v>0</v>
      </c>
      <c r="P486" s="1358"/>
      <c r="Q486" s="1358"/>
      <c r="R486" s="1358"/>
      <c r="S486" s="1358"/>
      <c r="T486" s="1363">
        <v>0</v>
      </c>
      <c r="U486" s="1364"/>
      <c r="V486" s="1041" t="e">
        <f t="shared" si="20"/>
        <v>#DIV/0!</v>
      </c>
      <c r="W486" s="1042"/>
      <c r="X486" s="1042"/>
      <c r="Y486" s="1045">
        <f t="shared" si="21"/>
        <v>0</v>
      </c>
      <c r="Z486" s="1046"/>
      <c r="AA486" s="1046"/>
      <c r="AB486" s="1046"/>
      <c r="AC486" s="1045">
        <f t="shared" si="22"/>
        <v>0</v>
      </c>
      <c r="AD486" s="1046"/>
      <c r="AE486" s="1046"/>
      <c r="AF486" s="1046"/>
    </row>
    <row r="487" spans="1:32" s="141" customFormat="1" ht="17.25" customHeight="1">
      <c r="A487" s="1365" t="str">
        <f>'3.LRA'!C81</f>
        <v>Pengadaan alat Kesehatan</v>
      </c>
      <c r="B487" s="1400"/>
      <c r="C487" s="1400"/>
      <c r="D487" s="1400"/>
      <c r="E487" s="1357">
        <f>'3.LRA'!D81</f>
        <v>0</v>
      </c>
      <c r="F487" s="1358"/>
      <c r="G487" s="1358"/>
      <c r="H487" s="1358"/>
      <c r="I487" s="1358"/>
      <c r="J487" s="1357">
        <f>'3.LRA'!E81</f>
        <v>0</v>
      </c>
      <c r="K487" s="1358"/>
      <c r="L487" s="1358"/>
      <c r="M487" s="1358"/>
      <c r="N487" s="1358"/>
      <c r="O487" s="1357">
        <f>'3.LRA'!I81</f>
        <v>0</v>
      </c>
      <c r="P487" s="1358"/>
      <c r="Q487" s="1358"/>
      <c r="R487" s="1358"/>
      <c r="S487" s="1358"/>
      <c r="T487" s="1363">
        <v>0</v>
      </c>
      <c r="U487" s="1364"/>
      <c r="V487" s="1041" t="e">
        <f t="shared" si="20"/>
        <v>#DIV/0!</v>
      </c>
      <c r="W487" s="1042"/>
      <c r="X487" s="1042"/>
      <c r="Y487" s="1045">
        <f t="shared" si="21"/>
        <v>0</v>
      </c>
      <c r="Z487" s="1046"/>
      <c r="AA487" s="1046"/>
      <c r="AB487" s="1046"/>
      <c r="AC487" s="1045">
        <f t="shared" si="22"/>
        <v>0</v>
      </c>
      <c r="AD487" s="1046"/>
      <c r="AE487" s="1046"/>
      <c r="AF487" s="1046"/>
    </row>
    <row r="488" spans="1:32" s="141" customFormat="1" ht="22.5" customHeight="1">
      <c r="A488" s="1244" t="s">
        <v>10</v>
      </c>
      <c r="B488" s="1719"/>
      <c r="C488" s="1719"/>
      <c r="D488" s="1719"/>
      <c r="E488" s="1206">
        <f>SUM(E479:I487)</f>
        <v>200000000</v>
      </c>
      <c r="F488" s="1165"/>
      <c r="G488" s="1165"/>
      <c r="H488" s="1165"/>
      <c r="I488" s="1166"/>
      <c r="J488" s="1206">
        <f>SUM(J479:N487)</f>
        <v>190286160</v>
      </c>
      <c r="K488" s="1165"/>
      <c r="L488" s="1165"/>
      <c r="M488" s="1165"/>
      <c r="N488" s="1166"/>
      <c r="O488" s="1206">
        <f>SUM(O479:S487)</f>
        <v>0</v>
      </c>
      <c r="P488" s="1165"/>
      <c r="Q488" s="1165"/>
      <c r="R488" s="1165"/>
      <c r="S488" s="1166"/>
      <c r="T488" s="1363">
        <v>0</v>
      </c>
      <c r="U488" s="1364"/>
      <c r="V488" s="1041">
        <f t="shared" si="20"/>
        <v>95.14308</v>
      </c>
      <c r="W488" s="1042"/>
      <c r="X488" s="1042"/>
      <c r="Y488" s="1045">
        <f t="shared" si="21"/>
        <v>9713840</v>
      </c>
      <c r="Z488" s="1046"/>
      <c r="AA488" s="1046"/>
      <c r="AB488" s="1046"/>
      <c r="AC488" s="1045">
        <f t="shared" si="22"/>
        <v>190286160</v>
      </c>
      <c r="AD488" s="1046"/>
      <c r="AE488" s="1046"/>
      <c r="AF488" s="1046"/>
    </row>
    <row r="489" spans="1:22" s="141" customFormat="1" ht="7.5" customHeight="1">
      <c r="A489" s="650"/>
      <c r="B489" s="710"/>
      <c r="C489" s="710"/>
      <c r="D489" s="710"/>
      <c r="E489" s="710"/>
      <c r="F489" s="710"/>
      <c r="G489" s="710"/>
      <c r="H489" s="710"/>
      <c r="I489" s="710"/>
      <c r="J489" s="629"/>
      <c r="K489" s="629"/>
      <c r="L489" s="629"/>
      <c r="M489" s="629"/>
      <c r="N489" s="629"/>
      <c r="O489" s="629"/>
      <c r="P489" s="629"/>
      <c r="Q489" s="629"/>
      <c r="R489" s="629"/>
      <c r="S489" s="629"/>
      <c r="T489" s="725"/>
      <c r="U489" s="725"/>
      <c r="V489" s="52"/>
    </row>
    <row r="490" spans="1:22" s="141" customFormat="1" ht="15" customHeight="1">
      <c r="A490" s="650"/>
      <c r="B490" s="710"/>
      <c r="C490" s="710"/>
      <c r="D490" s="712">
        <v>1</v>
      </c>
      <c r="E490" s="1401" t="s">
        <v>1523</v>
      </c>
      <c r="F490" s="1401"/>
      <c r="G490" s="1401"/>
      <c r="H490" s="1401"/>
      <c r="I490" s="1401"/>
      <c r="J490" s="1401"/>
      <c r="K490" s="1401"/>
      <c r="L490" s="1401"/>
      <c r="M490" s="1401"/>
      <c r="N490" s="1401"/>
      <c r="O490" s="1401"/>
      <c r="P490" s="1401"/>
      <c r="Q490" s="1401"/>
      <c r="R490" s="1401"/>
      <c r="S490" s="1401"/>
      <c r="T490" s="1401"/>
      <c r="U490" s="1401"/>
      <c r="V490" s="52"/>
    </row>
    <row r="491" spans="1:22" s="141" customFormat="1" ht="61.5" customHeight="1">
      <c r="A491" s="650"/>
      <c r="B491" s="710"/>
      <c r="C491" s="710"/>
      <c r="D491" s="727"/>
      <c r="E491" s="1337" t="str">
        <f>"Realisasi Belanja Modal Alat Bantu TA "&amp;'2.ISIAN DATA SKPD'!D11&amp;" sebesar Rp. 0, atau mencapai sebesar 0 % dari anggaran sebesar Rp. 0, kurang dari anggaran sebesar Rp. 0.   Bila dibandingkan dengan realisasi TA 0 naik sebesar Rp. 0 %."</f>
        <v>Realisasi Belanja Modal Alat Bantu TA 2017 sebesar Rp. 0, atau mencapai sebesar 0 % dari anggaran sebesar Rp. 0, kurang dari anggaran sebesar Rp. 0.   Bila dibandingkan dengan realisasi TA 0 naik sebesar Rp. 0 %.</v>
      </c>
      <c r="F491" s="1337"/>
      <c r="G491" s="1337"/>
      <c r="H491" s="1337"/>
      <c r="I491" s="1337"/>
      <c r="J491" s="1337"/>
      <c r="K491" s="1337"/>
      <c r="L491" s="1337"/>
      <c r="M491" s="1337"/>
      <c r="N491" s="1337"/>
      <c r="O491" s="1337"/>
      <c r="P491" s="1337"/>
      <c r="Q491" s="1337"/>
      <c r="R491" s="1337"/>
      <c r="S491" s="1337"/>
      <c r="T491" s="1337"/>
      <c r="U491" s="1337"/>
      <c r="V491" s="52"/>
    </row>
    <row r="492" spans="1:22" s="141" customFormat="1" ht="31.5" customHeight="1">
      <c r="A492" s="650"/>
      <c r="B492" s="710"/>
      <c r="C492" s="710"/>
      <c r="D492" s="727"/>
      <c r="E492" s="1337" t="s">
        <v>1720</v>
      </c>
      <c r="F492" s="1337"/>
      <c r="G492" s="1337"/>
      <c r="H492" s="1337"/>
      <c r="I492" s="1337"/>
      <c r="J492" s="1337"/>
      <c r="K492" s="1337"/>
      <c r="L492" s="1337"/>
      <c r="M492" s="1337"/>
      <c r="N492" s="1337"/>
      <c r="O492" s="1337"/>
      <c r="P492" s="1337"/>
      <c r="Q492" s="1337"/>
      <c r="R492" s="1337"/>
      <c r="S492" s="1337"/>
      <c r="T492" s="1337"/>
      <c r="U492" s="1337"/>
      <c r="V492" s="52"/>
    </row>
    <row r="493" spans="1:22" s="141" customFormat="1" ht="9" customHeight="1">
      <c r="A493" s="650"/>
      <c r="B493" s="710"/>
      <c r="C493" s="710"/>
      <c r="D493" s="710"/>
      <c r="E493" s="724"/>
      <c r="F493" s="724"/>
      <c r="G493" s="724"/>
      <c r="H493" s="724"/>
      <c r="I493" s="724"/>
      <c r="J493" s="724"/>
      <c r="K493" s="724"/>
      <c r="L493" s="724"/>
      <c r="M493" s="724"/>
      <c r="N493" s="724"/>
      <c r="O493" s="724"/>
      <c r="P493" s="724"/>
      <c r="Q493" s="724"/>
      <c r="R493" s="724"/>
      <c r="S493" s="724"/>
      <c r="T493" s="724"/>
      <c r="U493" s="724"/>
      <c r="V493" s="52"/>
    </row>
    <row r="494" spans="1:32" s="141" customFormat="1" ht="31.5" customHeight="1">
      <c r="A494" s="1245" t="s">
        <v>1721</v>
      </c>
      <c r="B494" s="1246"/>
      <c r="C494" s="1246"/>
      <c r="D494" s="1246"/>
      <c r="E494" s="1244" t="str">
        <f>E478</f>
        <v>Anggaran</v>
      </c>
      <c r="F494" s="1244"/>
      <c r="G494" s="1244"/>
      <c r="H494" s="1244"/>
      <c r="I494" s="1244"/>
      <c r="J494" s="1244" t="str">
        <f>J478</f>
        <v>Realisasi                      TA 2017</v>
      </c>
      <c r="K494" s="1244"/>
      <c r="L494" s="1244"/>
      <c r="M494" s="1244"/>
      <c r="N494" s="1244"/>
      <c r="O494" s="1244" t="str">
        <f>O478</f>
        <v>Realisasi                   TA 2016</v>
      </c>
      <c r="P494" s="1244"/>
      <c r="Q494" s="1244"/>
      <c r="R494" s="1244"/>
      <c r="S494" s="1244"/>
      <c r="T494" s="1354" t="s">
        <v>1207</v>
      </c>
      <c r="U494" s="1355"/>
      <c r="V494" s="1087" t="s">
        <v>1673</v>
      </c>
      <c r="W494" s="1100"/>
      <c r="X494" s="1100"/>
      <c r="Y494" s="1092" t="s">
        <v>1674</v>
      </c>
      <c r="Z494" s="1046"/>
      <c r="AA494" s="1046"/>
      <c r="AB494" s="1046" t="s">
        <v>1673</v>
      </c>
      <c r="AC494" s="1092" t="s">
        <v>1675</v>
      </c>
      <c r="AD494" s="1046"/>
      <c r="AE494" s="1046"/>
      <c r="AF494" s="1046"/>
    </row>
    <row r="495" spans="1:32" s="141" customFormat="1" ht="15" customHeight="1">
      <c r="A495" s="1366" t="s">
        <v>1575</v>
      </c>
      <c r="B495" s="1367"/>
      <c r="C495" s="1367"/>
      <c r="D495" s="1367"/>
      <c r="E495" s="1347">
        <v>0</v>
      </c>
      <c r="F495" s="1348"/>
      <c r="G495" s="1348"/>
      <c r="H495" s="1348"/>
      <c r="I495" s="1348"/>
      <c r="J495" s="1347">
        <v>0</v>
      </c>
      <c r="K495" s="1348"/>
      <c r="L495" s="1348"/>
      <c r="M495" s="1348"/>
      <c r="N495" s="1348"/>
      <c r="O495" s="1347">
        <v>0</v>
      </c>
      <c r="P495" s="1348"/>
      <c r="Q495" s="1348"/>
      <c r="R495" s="1348"/>
      <c r="S495" s="1348"/>
      <c r="T495" s="1363">
        <v>0</v>
      </c>
      <c r="U495" s="1364"/>
      <c r="V495" s="1041" t="e">
        <f>J495/E495*100</f>
        <v>#DIV/0!</v>
      </c>
      <c r="W495" s="1042"/>
      <c r="X495" s="1042"/>
      <c r="Y495" s="1045">
        <f>E495-J495</f>
        <v>0</v>
      </c>
      <c r="Z495" s="1046"/>
      <c r="AA495" s="1046"/>
      <c r="AB495" s="1046"/>
      <c r="AC495" s="1045">
        <f>J495-O495</f>
        <v>0</v>
      </c>
      <c r="AD495" s="1046"/>
      <c r="AE495" s="1046"/>
      <c r="AF495" s="1046"/>
    </row>
    <row r="496" spans="1:32" s="141" customFormat="1" ht="15" customHeight="1">
      <c r="A496" s="1558" t="s">
        <v>10</v>
      </c>
      <c r="B496" s="1559"/>
      <c r="C496" s="1559"/>
      <c r="D496" s="1560"/>
      <c r="E496" s="1206">
        <f>SUM(E495:I495)</f>
        <v>0</v>
      </c>
      <c r="F496" s="1165"/>
      <c r="G496" s="1165"/>
      <c r="H496" s="1165"/>
      <c r="I496" s="1166"/>
      <c r="J496" s="1206">
        <f>SUM(J495:N495)</f>
        <v>0</v>
      </c>
      <c r="K496" s="1165"/>
      <c r="L496" s="1165"/>
      <c r="M496" s="1165"/>
      <c r="N496" s="1166"/>
      <c r="O496" s="1206">
        <f>SUM(O495:S495)</f>
        <v>0</v>
      </c>
      <c r="P496" s="1165"/>
      <c r="Q496" s="1165"/>
      <c r="R496" s="1165"/>
      <c r="S496" s="1166"/>
      <c r="T496" s="1363">
        <v>0</v>
      </c>
      <c r="U496" s="1364"/>
      <c r="V496" s="1041" t="e">
        <f>J496/E496*100</f>
        <v>#DIV/0!</v>
      </c>
      <c r="W496" s="1042"/>
      <c r="X496" s="1042"/>
      <c r="Y496" s="1045">
        <f>E496-J496</f>
        <v>0</v>
      </c>
      <c r="Z496" s="1046"/>
      <c r="AA496" s="1046"/>
      <c r="AB496" s="1046"/>
      <c r="AC496" s="1045">
        <f>J496-O496</f>
        <v>0</v>
      </c>
      <c r="AD496" s="1046"/>
      <c r="AE496" s="1046"/>
      <c r="AF496" s="1046"/>
    </row>
    <row r="497" spans="1:22" s="141" customFormat="1" ht="9.75" customHeight="1">
      <c r="A497" s="650"/>
      <c r="B497" s="710"/>
      <c r="C497" s="710"/>
      <c r="D497" s="712"/>
      <c r="E497" s="726"/>
      <c r="F497" s="726"/>
      <c r="G497" s="726"/>
      <c r="H497" s="726"/>
      <c r="I497" s="726"/>
      <c r="J497" s="726"/>
      <c r="K497" s="726"/>
      <c r="L497" s="726"/>
      <c r="M497" s="726"/>
      <c r="N497" s="726"/>
      <c r="O497" s="726"/>
      <c r="P497" s="726"/>
      <c r="Q497" s="726"/>
      <c r="R497" s="726"/>
      <c r="S497" s="726"/>
      <c r="T497" s="726"/>
      <c r="U497" s="726"/>
      <c r="V497" s="52"/>
    </row>
    <row r="498" spans="1:22" s="141" customFormat="1" ht="15" customHeight="1">
      <c r="A498" s="650"/>
      <c r="B498" s="710"/>
      <c r="C498" s="710"/>
      <c r="D498" s="712">
        <f>D490+1</f>
        <v>2</v>
      </c>
      <c r="E498" s="1401" t="s">
        <v>1524</v>
      </c>
      <c r="F498" s="1401"/>
      <c r="G498" s="1401"/>
      <c r="H498" s="1401"/>
      <c r="I498" s="1401"/>
      <c r="J498" s="1401"/>
      <c r="K498" s="1401"/>
      <c r="L498" s="1401"/>
      <c r="M498" s="1401"/>
      <c r="N498" s="1401"/>
      <c r="O498" s="1401"/>
      <c r="P498" s="1401"/>
      <c r="Q498" s="1401"/>
      <c r="R498" s="1401"/>
      <c r="S498" s="1401"/>
      <c r="T498" s="1401"/>
      <c r="U498" s="1401"/>
      <c r="V498" s="52"/>
    </row>
    <row r="499" spans="1:22" s="141" customFormat="1" ht="61.5" customHeight="1">
      <c r="A499" s="650"/>
      <c r="B499" s="710"/>
      <c r="C499" s="710"/>
      <c r="D499" s="727"/>
      <c r="E499" s="1337" t="str">
        <f>"Realisasi Belanja Modal Alat Angkutan TA "&amp;'2.ISIAN DATA SKPD'!D11&amp;" sebesar Rp. 0, atau mencapai sebesar 0 % dari anggaran sebesar Rp. 0, kurang dari anggaran sebesar Rp. 0.   Bila dibandingkan dengan realisasi TA "&amp;'2.ISIAN DATA SKPD'!D23&amp;" naik sebesar Rp. 0 atau 0 %."</f>
        <v>Realisasi Belanja Modal Alat Angkutan TA 2017 sebesar Rp. 0, atau mencapai sebesar 0 % dari anggaran sebesar Rp. 0, kurang dari anggaran sebesar Rp. 0.   Bila dibandingkan dengan realisasi TA  naik sebesar Rp. 0 atau 0 %.</v>
      </c>
      <c r="F499" s="1337"/>
      <c r="G499" s="1337"/>
      <c r="H499" s="1337"/>
      <c r="I499" s="1337"/>
      <c r="J499" s="1337"/>
      <c r="K499" s="1337"/>
      <c r="L499" s="1337"/>
      <c r="M499" s="1337"/>
      <c r="N499" s="1337"/>
      <c r="O499" s="1337"/>
      <c r="P499" s="1337"/>
      <c r="Q499" s="1337"/>
      <c r="R499" s="1337"/>
      <c r="S499" s="1337"/>
      <c r="T499" s="1337"/>
      <c r="U499" s="1337"/>
      <c r="V499" s="52"/>
    </row>
    <row r="500" spans="1:22" s="141" customFormat="1" ht="33" customHeight="1">
      <c r="A500" s="650"/>
      <c r="B500" s="710"/>
      <c r="C500" s="710"/>
      <c r="D500" s="727"/>
      <c r="E500" s="1337" t="s">
        <v>1724</v>
      </c>
      <c r="F500" s="1337"/>
      <c r="G500" s="1337"/>
      <c r="H500" s="1337"/>
      <c r="I500" s="1337"/>
      <c r="J500" s="1337"/>
      <c r="K500" s="1337"/>
      <c r="L500" s="1337"/>
      <c r="M500" s="1337"/>
      <c r="N500" s="1337"/>
      <c r="O500" s="1337"/>
      <c r="P500" s="1337"/>
      <c r="Q500" s="1337"/>
      <c r="R500" s="1337"/>
      <c r="S500" s="1337"/>
      <c r="T500" s="1337"/>
      <c r="U500" s="1337"/>
      <c r="V500" s="52"/>
    </row>
    <row r="501" spans="1:22" s="141" customFormat="1" ht="0.75" customHeight="1">
      <c r="A501" s="650"/>
      <c r="B501" s="710"/>
      <c r="C501" s="710"/>
      <c r="D501" s="710"/>
      <c r="E501" s="724"/>
      <c r="F501" s="724"/>
      <c r="G501" s="724"/>
      <c r="H501" s="724"/>
      <c r="I501" s="724"/>
      <c r="J501" s="724"/>
      <c r="K501" s="724"/>
      <c r="L501" s="724"/>
      <c r="M501" s="724"/>
      <c r="N501" s="724"/>
      <c r="O501" s="724"/>
      <c r="P501" s="724"/>
      <c r="Q501" s="724"/>
      <c r="R501" s="724"/>
      <c r="S501" s="724"/>
      <c r="T501" s="724"/>
      <c r="U501" s="724"/>
      <c r="V501" s="52"/>
    </row>
    <row r="502" spans="1:32" s="141" customFormat="1" ht="31.5" customHeight="1">
      <c r="A502" s="1245" t="s">
        <v>1722</v>
      </c>
      <c r="B502" s="1246"/>
      <c r="C502" s="1246"/>
      <c r="D502" s="1246"/>
      <c r="E502" s="1244" t="str">
        <f>E494</f>
        <v>Anggaran</v>
      </c>
      <c r="F502" s="1244"/>
      <c r="G502" s="1244"/>
      <c r="H502" s="1244"/>
      <c r="I502" s="1244"/>
      <c r="J502" s="1244" t="str">
        <f>J494</f>
        <v>Realisasi                      TA 2017</v>
      </c>
      <c r="K502" s="1244"/>
      <c r="L502" s="1244"/>
      <c r="M502" s="1244"/>
      <c r="N502" s="1244"/>
      <c r="O502" s="1244" t="str">
        <f>O494</f>
        <v>Realisasi                   TA 2016</v>
      </c>
      <c r="P502" s="1244"/>
      <c r="Q502" s="1244"/>
      <c r="R502" s="1244"/>
      <c r="S502" s="1244"/>
      <c r="T502" s="1354" t="s">
        <v>1207</v>
      </c>
      <c r="U502" s="1355"/>
      <c r="V502" s="1087" t="s">
        <v>1673</v>
      </c>
      <c r="W502" s="1100"/>
      <c r="X502" s="1100"/>
      <c r="Y502" s="1092" t="s">
        <v>1674</v>
      </c>
      <c r="Z502" s="1046"/>
      <c r="AA502" s="1046"/>
      <c r="AB502" s="1046" t="s">
        <v>1673</v>
      </c>
      <c r="AC502" s="1092" t="s">
        <v>1675</v>
      </c>
      <c r="AD502" s="1046"/>
      <c r="AE502" s="1046"/>
      <c r="AF502" s="1046"/>
    </row>
    <row r="503" spans="1:32" s="141" customFormat="1" ht="15" customHeight="1">
      <c r="A503" s="1366" t="s">
        <v>1575</v>
      </c>
      <c r="B503" s="1367"/>
      <c r="C503" s="1367"/>
      <c r="D503" s="1367"/>
      <c r="E503" s="1347">
        <v>0</v>
      </c>
      <c r="F503" s="1348"/>
      <c r="G503" s="1348"/>
      <c r="H503" s="1348"/>
      <c r="I503" s="1348"/>
      <c r="J503" s="1347">
        <v>0</v>
      </c>
      <c r="K503" s="1348"/>
      <c r="L503" s="1348"/>
      <c r="M503" s="1348"/>
      <c r="N503" s="1348"/>
      <c r="O503" s="1347">
        <v>0</v>
      </c>
      <c r="P503" s="1348"/>
      <c r="Q503" s="1348"/>
      <c r="R503" s="1348"/>
      <c r="S503" s="1348"/>
      <c r="T503" s="1363">
        <v>0</v>
      </c>
      <c r="U503" s="1364"/>
      <c r="V503" s="1041" t="e">
        <f>J503/E503*100</f>
        <v>#DIV/0!</v>
      </c>
      <c r="W503" s="1042"/>
      <c r="X503" s="1042"/>
      <c r="Y503" s="1045">
        <f>E503-J503</f>
        <v>0</v>
      </c>
      <c r="Z503" s="1046"/>
      <c r="AA503" s="1046"/>
      <c r="AB503" s="1046"/>
      <c r="AC503" s="1045">
        <f>J503-O503</f>
        <v>0</v>
      </c>
      <c r="AD503" s="1046"/>
      <c r="AE503" s="1046"/>
      <c r="AF503" s="1046"/>
    </row>
    <row r="504" spans="1:32" s="141" customFormat="1" ht="15" customHeight="1">
      <c r="A504" s="1366" t="s">
        <v>10</v>
      </c>
      <c r="B504" s="1367"/>
      <c r="C504" s="1367"/>
      <c r="D504" s="1367"/>
      <c r="E504" s="1347">
        <v>0</v>
      </c>
      <c r="F504" s="1348"/>
      <c r="G504" s="1348"/>
      <c r="H504" s="1348"/>
      <c r="I504" s="1348"/>
      <c r="J504" s="1347">
        <v>0</v>
      </c>
      <c r="K504" s="1348"/>
      <c r="L504" s="1348"/>
      <c r="M504" s="1348"/>
      <c r="N504" s="1348"/>
      <c r="O504" s="1347">
        <v>0</v>
      </c>
      <c r="P504" s="1348"/>
      <c r="Q504" s="1348"/>
      <c r="R504" s="1348"/>
      <c r="S504" s="1348"/>
      <c r="T504" s="1363">
        <v>0</v>
      </c>
      <c r="U504" s="1364"/>
      <c r="V504" s="1041" t="e">
        <f>J504/E504*100</f>
        <v>#DIV/0!</v>
      </c>
      <c r="W504" s="1042"/>
      <c r="X504" s="1042"/>
      <c r="Y504" s="1045">
        <f>E504-J504</f>
        <v>0</v>
      </c>
      <c r="Z504" s="1046"/>
      <c r="AA504" s="1046"/>
      <c r="AB504" s="1046"/>
      <c r="AC504" s="1045">
        <f>J504-O504</f>
        <v>0</v>
      </c>
      <c r="AD504" s="1046"/>
      <c r="AE504" s="1046"/>
      <c r="AF504" s="1046"/>
    </row>
    <row r="505" spans="1:32" s="141" customFormat="1" ht="0.75" customHeight="1">
      <c r="A505" s="1558" t="s">
        <v>10</v>
      </c>
      <c r="B505" s="1559"/>
      <c r="C505" s="1559"/>
      <c r="D505" s="1560"/>
      <c r="E505" s="1206">
        <f>SUM(E503:I504)</f>
        <v>0</v>
      </c>
      <c r="F505" s="1165"/>
      <c r="G505" s="1165"/>
      <c r="H505" s="1165"/>
      <c r="I505" s="1166"/>
      <c r="J505" s="1206">
        <f>SUM(J503:N504)</f>
        <v>0</v>
      </c>
      <c r="K505" s="1165"/>
      <c r="L505" s="1165"/>
      <c r="M505" s="1165"/>
      <c r="N505" s="1166"/>
      <c r="O505" s="1206">
        <f>SUM(O503:S504)</f>
        <v>0</v>
      </c>
      <c r="P505" s="1165"/>
      <c r="Q505" s="1165"/>
      <c r="R505" s="1165"/>
      <c r="S505" s="1166"/>
      <c r="T505" s="1363">
        <v>0</v>
      </c>
      <c r="U505" s="1364"/>
      <c r="V505" s="1041" t="e">
        <f>J505/E505*100</f>
        <v>#DIV/0!</v>
      </c>
      <c r="W505" s="1042"/>
      <c r="X505" s="1042"/>
      <c r="Y505" s="1045">
        <f>E505-J505</f>
        <v>0</v>
      </c>
      <c r="Z505" s="1046"/>
      <c r="AA505" s="1046"/>
      <c r="AB505" s="1046"/>
      <c r="AC505" s="1045">
        <f>J505-O505</f>
        <v>0</v>
      </c>
      <c r="AD505" s="1046"/>
      <c r="AE505" s="1046"/>
      <c r="AF505" s="1046"/>
    </row>
    <row r="506" spans="1:22" s="141" customFormat="1" ht="7.5" customHeight="1">
      <c r="A506" s="650"/>
      <c r="B506" s="710"/>
      <c r="C506" s="710"/>
      <c r="D506" s="712"/>
      <c r="E506" s="726"/>
      <c r="F506" s="726"/>
      <c r="G506" s="726"/>
      <c r="H506" s="726"/>
      <c r="I506" s="726"/>
      <c r="J506" s="726"/>
      <c r="K506" s="726"/>
      <c r="L506" s="726"/>
      <c r="M506" s="726"/>
      <c r="N506" s="726"/>
      <c r="O506" s="726"/>
      <c r="P506" s="726"/>
      <c r="Q506" s="726"/>
      <c r="R506" s="726"/>
      <c r="S506" s="726"/>
      <c r="T506" s="726"/>
      <c r="U506" s="726"/>
      <c r="V506" s="52"/>
    </row>
    <row r="507" spans="1:22" s="141" customFormat="1" ht="15" customHeight="1">
      <c r="A507" s="650"/>
      <c r="B507" s="710"/>
      <c r="C507" s="710"/>
      <c r="D507" s="712">
        <f>D498+1</f>
        <v>3</v>
      </c>
      <c r="E507" s="1401" t="s">
        <v>1525</v>
      </c>
      <c r="F507" s="1401"/>
      <c r="G507" s="1401"/>
      <c r="H507" s="1401"/>
      <c r="I507" s="1401"/>
      <c r="J507" s="1401"/>
      <c r="K507" s="1401"/>
      <c r="L507" s="1401"/>
      <c r="M507" s="1401"/>
      <c r="N507" s="1401"/>
      <c r="O507" s="1401"/>
      <c r="P507" s="1401"/>
      <c r="Q507" s="1401"/>
      <c r="R507" s="1401"/>
      <c r="S507" s="1401"/>
      <c r="T507" s="1401"/>
      <c r="U507" s="1401"/>
      <c r="V507" s="52"/>
    </row>
    <row r="508" spans="1:22" s="141" customFormat="1" ht="59.25" customHeight="1">
      <c r="A508" s="650"/>
      <c r="B508" s="710"/>
      <c r="C508" s="710"/>
      <c r="D508" s="727"/>
      <c r="E508" s="1337" t="str">
        <f>"Realisasi Belanja Modal Alat Kantor TA "&amp;'2.ISIAN DATA SKPD'!D22&amp;" sebesar Rp. 0, atau mencapai sebesar 0 % dari anggaran sebesar Rp. 0, kurang dari anggaran sebesar Rp. 0.   Bila dibandingkan dengan realisasi TA "&amp;'2.ISIAN DATA SKPD'!D34&amp;" naik sebesar Rp. 0 atau 0 %."</f>
        <v>Realisasi Belanja Modal Alat Kantor TA  sebesar Rp. 0, atau mencapai sebesar 0 % dari anggaran sebesar Rp. 0, kurang dari anggaran sebesar Rp. 0.   Bila dibandingkan dengan realisasi TA  naik sebesar Rp. 0 atau 0 %.</v>
      </c>
      <c r="F508" s="1337"/>
      <c r="G508" s="1337"/>
      <c r="H508" s="1337"/>
      <c r="I508" s="1337"/>
      <c r="J508" s="1337"/>
      <c r="K508" s="1337"/>
      <c r="L508" s="1337"/>
      <c r="M508" s="1337"/>
      <c r="N508" s="1337"/>
      <c r="O508" s="1337"/>
      <c r="P508" s="1337"/>
      <c r="Q508" s="1337"/>
      <c r="R508" s="1337"/>
      <c r="S508" s="1337"/>
      <c r="T508" s="1337"/>
      <c r="U508" s="1337"/>
      <c r="V508" s="52"/>
    </row>
    <row r="509" spans="1:22" s="141" customFormat="1" ht="30.75" customHeight="1">
      <c r="A509" s="650"/>
      <c r="B509" s="710"/>
      <c r="C509" s="710"/>
      <c r="D509" s="727"/>
      <c r="E509" s="1337" t="s">
        <v>1723</v>
      </c>
      <c r="F509" s="1337"/>
      <c r="G509" s="1337"/>
      <c r="H509" s="1337"/>
      <c r="I509" s="1337"/>
      <c r="J509" s="1337"/>
      <c r="K509" s="1337"/>
      <c r="L509" s="1337"/>
      <c r="M509" s="1337"/>
      <c r="N509" s="1337"/>
      <c r="O509" s="1337"/>
      <c r="P509" s="1337"/>
      <c r="Q509" s="1337"/>
      <c r="R509" s="1337"/>
      <c r="S509" s="1337"/>
      <c r="T509" s="1337"/>
      <c r="U509" s="1337"/>
      <c r="V509" s="52"/>
    </row>
    <row r="510" spans="1:22" s="141" customFormat="1" ht="5.25" customHeight="1">
      <c r="A510" s="650"/>
      <c r="B510" s="710"/>
      <c r="C510" s="710"/>
      <c r="D510" s="710"/>
      <c r="E510" s="724"/>
      <c r="F510" s="724"/>
      <c r="G510" s="724"/>
      <c r="H510" s="724"/>
      <c r="I510" s="724"/>
      <c r="J510" s="724"/>
      <c r="K510" s="724"/>
      <c r="L510" s="724"/>
      <c r="M510" s="724"/>
      <c r="N510" s="724"/>
      <c r="O510" s="724"/>
      <c r="P510" s="724"/>
      <c r="Q510" s="724"/>
      <c r="R510" s="724"/>
      <c r="S510" s="724"/>
      <c r="T510" s="724"/>
      <c r="U510" s="724"/>
      <c r="V510" s="52"/>
    </row>
    <row r="511" spans="1:32" s="141" customFormat="1" ht="15" customHeight="1">
      <c r="A511" s="1245" t="s">
        <v>557</v>
      </c>
      <c r="B511" s="1246"/>
      <c r="C511" s="1246"/>
      <c r="D511" s="1246"/>
      <c r="E511" s="1244" t="str">
        <f>E502</f>
        <v>Anggaran</v>
      </c>
      <c r="F511" s="1244"/>
      <c r="G511" s="1244"/>
      <c r="H511" s="1244"/>
      <c r="I511" s="1244"/>
      <c r="J511" s="1244" t="str">
        <f>J502</f>
        <v>Realisasi                      TA 2017</v>
      </c>
      <c r="K511" s="1244"/>
      <c r="L511" s="1244"/>
      <c r="M511" s="1244"/>
      <c r="N511" s="1244"/>
      <c r="O511" s="1244" t="str">
        <f>O502</f>
        <v>Realisasi                   TA 2016</v>
      </c>
      <c r="P511" s="1244"/>
      <c r="Q511" s="1244"/>
      <c r="R511" s="1244"/>
      <c r="S511" s="1244"/>
      <c r="T511" s="1354" t="s">
        <v>1207</v>
      </c>
      <c r="U511" s="1355"/>
      <c r="V511" s="1087" t="s">
        <v>1673</v>
      </c>
      <c r="W511" s="1100"/>
      <c r="X511" s="1100"/>
      <c r="Y511" s="1092" t="s">
        <v>1674</v>
      </c>
      <c r="Z511" s="1046"/>
      <c r="AA511" s="1046"/>
      <c r="AB511" s="1046" t="s">
        <v>1673</v>
      </c>
      <c r="AC511" s="1092" t="s">
        <v>1675</v>
      </c>
      <c r="AD511" s="1046"/>
      <c r="AE511" s="1046"/>
      <c r="AF511" s="1046"/>
    </row>
    <row r="512" spans="1:32" s="141" customFormat="1" ht="15" customHeight="1">
      <c r="A512" s="1366" t="str">
        <f>'3.LRA'!C75</f>
        <v>Pengadaan Alat Kantor</v>
      </c>
      <c r="B512" s="1367"/>
      <c r="C512" s="1367"/>
      <c r="D512" s="1367"/>
      <c r="E512" s="1347">
        <f>'3.LRA'!D75</f>
        <v>31755000</v>
      </c>
      <c r="F512" s="1348"/>
      <c r="G512" s="1348"/>
      <c r="H512" s="1348"/>
      <c r="I512" s="1348"/>
      <c r="J512" s="1347">
        <f>'3.LRA'!E75</f>
        <v>31709000</v>
      </c>
      <c r="K512" s="1348"/>
      <c r="L512" s="1348"/>
      <c r="M512" s="1348"/>
      <c r="N512" s="1348"/>
      <c r="O512" s="1347">
        <v>0</v>
      </c>
      <c r="P512" s="1348"/>
      <c r="Q512" s="1348"/>
      <c r="R512" s="1348"/>
      <c r="S512" s="1348"/>
      <c r="T512" s="1351">
        <v>100</v>
      </c>
      <c r="U512" s="1352"/>
      <c r="V512" s="1041">
        <f>J512/E512*100</f>
        <v>99.85514092268934</v>
      </c>
      <c r="W512" s="1042"/>
      <c r="X512" s="1042"/>
      <c r="Y512" s="1045">
        <f>E512-J512</f>
        <v>46000</v>
      </c>
      <c r="Z512" s="1046"/>
      <c r="AA512" s="1046"/>
      <c r="AB512" s="1046"/>
      <c r="AC512" s="1045">
        <f>J512-O512</f>
        <v>31709000</v>
      </c>
      <c r="AD512" s="1046"/>
      <c r="AE512" s="1046"/>
      <c r="AF512" s="1046"/>
    </row>
    <row r="513" spans="1:32" s="141" customFormat="1" ht="15" customHeight="1">
      <c r="A513" s="1366"/>
      <c r="B513" s="1367"/>
      <c r="C513" s="1367"/>
      <c r="D513" s="1367"/>
      <c r="E513" s="1347">
        <v>0</v>
      </c>
      <c r="F513" s="1348"/>
      <c r="G513" s="1348"/>
      <c r="H513" s="1348"/>
      <c r="I513" s="1348"/>
      <c r="J513" s="1347">
        <v>0</v>
      </c>
      <c r="K513" s="1348"/>
      <c r="L513" s="1348"/>
      <c r="M513" s="1348"/>
      <c r="N513" s="1348"/>
      <c r="O513" s="1347">
        <v>0</v>
      </c>
      <c r="P513" s="1348"/>
      <c r="Q513" s="1348"/>
      <c r="R513" s="1348"/>
      <c r="S513" s="1348"/>
      <c r="T513" s="1351">
        <v>0</v>
      </c>
      <c r="U513" s="1352"/>
      <c r="V513" s="1041" t="e">
        <f>J513/E513*100</f>
        <v>#DIV/0!</v>
      </c>
      <c r="W513" s="1042"/>
      <c r="X513" s="1042"/>
      <c r="Y513" s="1045">
        <f>E513-J513</f>
        <v>0</v>
      </c>
      <c r="Z513" s="1046"/>
      <c r="AA513" s="1046"/>
      <c r="AB513" s="1046"/>
      <c r="AC513" s="1045">
        <f>J513-O513</f>
        <v>0</v>
      </c>
      <c r="AD513" s="1046"/>
      <c r="AE513" s="1046"/>
      <c r="AF513" s="1046"/>
    </row>
    <row r="514" spans="1:32" s="141" customFormat="1" ht="15" customHeight="1">
      <c r="A514" s="1366"/>
      <c r="B514" s="1367"/>
      <c r="C514" s="1367"/>
      <c r="D514" s="1367"/>
      <c r="E514" s="1347">
        <v>0</v>
      </c>
      <c r="F514" s="1348"/>
      <c r="G514" s="1348"/>
      <c r="H514" s="1348"/>
      <c r="I514" s="1348"/>
      <c r="J514" s="1347">
        <v>0</v>
      </c>
      <c r="K514" s="1348"/>
      <c r="L514" s="1348"/>
      <c r="M514" s="1348"/>
      <c r="N514" s="1348"/>
      <c r="O514" s="1347">
        <v>0</v>
      </c>
      <c r="P514" s="1348"/>
      <c r="Q514" s="1348"/>
      <c r="R514" s="1348"/>
      <c r="S514" s="1348"/>
      <c r="T514" s="1351">
        <v>0</v>
      </c>
      <c r="U514" s="1352"/>
      <c r="V514" s="1041" t="e">
        <f>J514/E514*100</f>
        <v>#DIV/0!</v>
      </c>
      <c r="W514" s="1042"/>
      <c r="X514" s="1042"/>
      <c r="Y514" s="1045">
        <f>E514-J514</f>
        <v>0</v>
      </c>
      <c r="Z514" s="1046"/>
      <c r="AA514" s="1046"/>
      <c r="AB514" s="1046"/>
      <c r="AC514" s="1045">
        <f>J514-O514</f>
        <v>0</v>
      </c>
      <c r="AD514" s="1046"/>
      <c r="AE514" s="1046"/>
      <c r="AF514" s="1046"/>
    </row>
    <row r="515" spans="1:32" s="141" customFormat="1" ht="15" customHeight="1">
      <c r="A515" s="1366"/>
      <c r="B515" s="1367"/>
      <c r="C515" s="1367"/>
      <c r="D515" s="1367"/>
      <c r="E515" s="1347">
        <v>0</v>
      </c>
      <c r="F515" s="1348"/>
      <c r="G515" s="1348"/>
      <c r="H515" s="1348"/>
      <c r="I515" s="1348"/>
      <c r="J515" s="1347">
        <v>0</v>
      </c>
      <c r="K515" s="1348"/>
      <c r="L515" s="1348"/>
      <c r="M515" s="1348"/>
      <c r="N515" s="1348"/>
      <c r="O515" s="1347">
        <v>0</v>
      </c>
      <c r="P515" s="1348"/>
      <c r="Q515" s="1348"/>
      <c r="R515" s="1348"/>
      <c r="S515" s="1348"/>
      <c r="T515" s="1351">
        <v>0</v>
      </c>
      <c r="U515" s="1352"/>
      <c r="V515" s="1041" t="e">
        <f>J515/E515*100</f>
        <v>#DIV/0!</v>
      </c>
      <c r="W515" s="1042"/>
      <c r="X515" s="1042"/>
      <c r="Y515" s="1045">
        <f>E515-J515</f>
        <v>0</v>
      </c>
      <c r="Z515" s="1046"/>
      <c r="AA515" s="1046"/>
      <c r="AB515" s="1046"/>
      <c r="AC515" s="1045">
        <f>J515-O515</f>
        <v>0</v>
      </c>
      <c r="AD515" s="1046"/>
      <c r="AE515" s="1046"/>
      <c r="AF515" s="1046"/>
    </row>
    <row r="516" spans="1:32" s="141" customFormat="1" ht="15" customHeight="1">
      <c r="A516" s="1558" t="s">
        <v>10</v>
      </c>
      <c r="B516" s="1559"/>
      <c r="C516" s="1559"/>
      <c r="D516" s="1560"/>
      <c r="E516" s="1206">
        <f>SUM(E512:I515)</f>
        <v>31755000</v>
      </c>
      <c r="F516" s="1165"/>
      <c r="G516" s="1165"/>
      <c r="H516" s="1165"/>
      <c r="I516" s="1166"/>
      <c r="J516" s="1206">
        <f>SUM(J512:N515)</f>
        <v>31709000</v>
      </c>
      <c r="K516" s="1165"/>
      <c r="L516" s="1165"/>
      <c r="M516" s="1165"/>
      <c r="N516" s="1166"/>
      <c r="O516" s="1206">
        <f>SUM(O512:S515)</f>
        <v>0</v>
      </c>
      <c r="P516" s="1165"/>
      <c r="Q516" s="1165"/>
      <c r="R516" s="1165"/>
      <c r="S516" s="1166"/>
      <c r="T516" s="1351">
        <v>100</v>
      </c>
      <c r="U516" s="1352"/>
      <c r="V516" s="1041">
        <f>J516/E516*100</f>
        <v>99.85514092268934</v>
      </c>
      <c r="W516" s="1042"/>
      <c r="X516" s="1042"/>
      <c r="Y516" s="1045">
        <f>E516-J516</f>
        <v>46000</v>
      </c>
      <c r="Z516" s="1046"/>
      <c r="AA516" s="1046"/>
      <c r="AB516" s="1046"/>
      <c r="AC516" s="1045">
        <f>J516-O516</f>
        <v>31709000</v>
      </c>
      <c r="AD516" s="1046"/>
      <c r="AE516" s="1046"/>
      <c r="AF516" s="1046"/>
    </row>
    <row r="517" spans="1:22" s="141" customFormat="1" ht="7.5" customHeight="1">
      <c r="A517" s="650"/>
      <c r="B517" s="710"/>
      <c r="C517" s="710"/>
      <c r="D517" s="712"/>
      <c r="E517" s="726"/>
      <c r="F517" s="726"/>
      <c r="G517" s="726"/>
      <c r="H517" s="726"/>
      <c r="I517" s="726"/>
      <c r="J517" s="726"/>
      <c r="K517" s="726"/>
      <c r="L517" s="726"/>
      <c r="M517" s="726"/>
      <c r="N517" s="726"/>
      <c r="O517" s="726"/>
      <c r="P517" s="726"/>
      <c r="Q517" s="726"/>
      <c r="R517" s="726"/>
      <c r="S517" s="726"/>
      <c r="T517" s="726"/>
      <c r="U517" s="726"/>
      <c r="V517" s="52"/>
    </row>
    <row r="518" spans="1:22" s="141" customFormat="1" ht="18" customHeight="1">
      <c r="A518" s="650"/>
      <c r="B518" s="710"/>
      <c r="C518" s="710"/>
      <c r="D518" s="712">
        <f>D507+1</f>
        <v>4</v>
      </c>
      <c r="E518" s="1401" t="s">
        <v>1526</v>
      </c>
      <c r="F518" s="1401"/>
      <c r="G518" s="1401"/>
      <c r="H518" s="1401"/>
      <c r="I518" s="1401"/>
      <c r="J518" s="1401"/>
      <c r="K518" s="1401"/>
      <c r="L518" s="1401"/>
      <c r="M518" s="1401"/>
      <c r="N518" s="1401"/>
      <c r="O518" s="1401"/>
      <c r="P518" s="1401"/>
      <c r="Q518" s="1401"/>
      <c r="R518" s="1401"/>
      <c r="S518" s="1401"/>
      <c r="T518" s="1401"/>
      <c r="U518" s="1401"/>
      <c r="V518" s="52"/>
    </row>
    <row r="519" spans="1:22" s="141" customFormat="1" ht="61.5" customHeight="1">
      <c r="A519" s="650"/>
      <c r="B519" s="710"/>
      <c r="C519" s="710"/>
      <c r="D519" s="727"/>
      <c r="E519" s="1337" t="str">
        <f>"Realisasi Belanja Modal Alat Rumah Tangga TA "&amp;'2.ISIAN DATA SKPD'!D11&amp;" sebesar Rp. 0, atau mencapai sebesar 0 % dari anggaran sebesar Rp. 0, kurang dari anggaran sebesar Rp. 0.   Bila dibandingkan dengan realisasi TA "&amp;'2.ISIAN DATA SKPD'!D12&amp;" naik sebesar Rp. 0 atau 0 %."</f>
        <v>Realisasi Belanja Modal Alat Rumah Tangga TA 2017 sebesar Rp. 0, atau mencapai sebesar 0 % dari anggaran sebesar Rp. 0, kurang dari anggaran sebesar Rp. 0.   Bila dibandingkan dengan realisasi TA 2016 naik sebesar Rp. 0 atau 0 %.</v>
      </c>
      <c r="F519" s="1337"/>
      <c r="G519" s="1337"/>
      <c r="H519" s="1337"/>
      <c r="I519" s="1337"/>
      <c r="J519" s="1337"/>
      <c r="K519" s="1337"/>
      <c r="L519" s="1337"/>
      <c r="M519" s="1337"/>
      <c r="N519" s="1337"/>
      <c r="O519" s="1337"/>
      <c r="P519" s="1337"/>
      <c r="Q519" s="1337"/>
      <c r="R519" s="1337"/>
      <c r="S519" s="1337"/>
      <c r="T519" s="1337"/>
      <c r="U519" s="1337"/>
      <c r="V519" s="52"/>
    </row>
    <row r="520" spans="1:22" s="141" customFormat="1" ht="28.5" customHeight="1">
      <c r="A520" s="650"/>
      <c r="B520" s="710"/>
      <c r="C520" s="710"/>
      <c r="D520" s="727"/>
      <c r="E520" s="1337" t="s">
        <v>1725</v>
      </c>
      <c r="F520" s="1337"/>
      <c r="G520" s="1337"/>
      <c r="H520" s="1337"/>
      <c r="I520" s="1337"/>
      <c r="J520" s="1337"/>
      <c r="K520" s="1337"/>
      <c r="L520" s="1337"/>
      <c r="M520" s="1337"/>
      <c r="N520" s="1337"/>
      <c r="O520" s="1337"/>
      <c r="P520" s="1337"/>
      <c r="Q520" s="1337"/>
      <c r="R520" s="1337"/>
      <c r="S520" s="1337"/>
      <c r="T520" s="1337"/>
      <c r="U520" s="1337"/>
      <c r="V520" s="52"/>
    </row>
    <row r="521" spans="1:22" s="141" customFormat="1" ht="6" customHeight="1">
      <c r="A521" s="650"/>
      <c r="B521" s="710"/>
      <c r="C521" s="710"/>
      <c r="D521" s="710"/>
      <c r="E521" s="724"/>
      <c r="F521" s="724"/>
      <c r="G521" s="724"/>
      <c r="H521" s="724"/>
      <c r="I521" s="724"/>
      <c r="J521" s="724"/>
      <c r="K521" s="724"/>
      <c r="L521" s="724"/>
      <c r="M521" s="724"/>
      <c r="N521" s="724"/>
      <c r="O521" s="724"/>
      <c r="P521" s="724"/>
      <c r="Q521" s="724"/>
      <c r="R521" s="724"/>
      <c r="S521" s="724"/>
      <c r="T521" s="724"/>
      <c r="U521" s="724"/>
      <c r="V521" s="52"/>
    </row>
    <row r="522" spans="1:32" s="141" customFormat="1" ht="30" customHeight="1">
      <c r="A522" s="1245" t="s">
        <v>558</v>
      </c>
      <c r="B522" s="1246"/>
      <c r="C522" s="1246"/>
      <c r="D522" s="1246"/>
      <c r="E522" s="1244" t="str">
        <f>E478</f>
        <v>Anggaran</v>
      </c>
      <c r="F522" s="1244"/>
      <c r="G522" s="1244"/>
      <c r="H522" s="1244"/>
      <c r="I522" s="1244"/>
      <c r="J522" s="1244" t="str">
        <f>J478</f>
        <v>Realisasi                      TA 2017</v>
      </c>
      <c r="K522" s="1244"/>
      <c r="L522" s="1244"/>
      <c r="M522" s="1244"/>
      <c r="N522" s="1244"/>
      <c r="O522" s="1244" t="str">
        <f>O478</f>
        <v>Realisasi                   TA 2016</v>
      </c>
      <c r="P522" s="1244"/>
      <c r="Q522" s="1244"/>
      <c r="R522" s="1244"/>
      <c r="S522" s="1244"/>
      <c r="T522" s="1354" t="s">
        <v>1207</v>
      </c>
      <c r="U522" s="1355"/>
      <c r="V522" s="1087" t="s">
        <v>1673</v>
      </c>
      <c r="W522" s="1100"/>
      <c r="X522" s="1100"/>
      <c r="Y522" s="1092" t="s">
        <v>1674</v>
      </c>
      <c r="Z522" s="1046"/>
      <c r="AA522" s="1046"/>
      <c r="AB522" s="1046" t="s">
        <v>1673</v>
      </c>
      <c r="AC522" s="1092" t="s">
        <v>1675</v>
      </c>
      <c r="AD522" s="1046"/>
      <c r="AE522" s="1046"/>
      <c r="AF522" s="1046"/>
    </row>
    <row r="523" spans="1:32" s="141" customFormat="1" ht="15" customHeight="1">
      <c r="A523" s="1366" t="s">
        <v>1703</v>
      </c>
      <c r="B523" s="1367"/>
      <c r="C523" s="1367"/>
      <c r="D523" s="1367"/>
      <c r="E523" s="1347">
        <v>0</v>
      </c>
      <c r="F523" s="1348"/>
      <c r="G523" s="1348"/>
      <c r="H523" s="1348"/>
      <c r="I523" s="1348"/>
      <c r="J523" s="1347">
        <v>0</v>
      </c>
      <c r="K523" s="1348"/>
      <c r="L523" s="1348"/>
      <c r="M523" s="1348"/>
      <c r="N523" s="1348"/>
      <c r="O523" s="1347">
        <v>0</v>
      </c>
      <c r="P523" s="1348"/>
      <c r="Q523" s="1348"/>
      <c r="R523" s="1348"/>
      <c r="S523" s="1348"/>
      <c r="T523" s="1363">
        <v>0</v>
      </c>
      <c r="U523" s="1364"/>
      <c r="V523" s="1041" t="e">
        <f>J523/E523*100</f>
        <v>#DIV/0!</v>
      </c>
      <c r="W523" s="1042"/>
      <c r="X523" s="1042"/>
      <c r="Y523" s="1045">
        <f>E523-J523</f>
        <v>0</v>
      </c>
      <c r="Z523" s="1046"/>
      <c r="AA523" s="1046"/>
      <c r="AB523" s="1046"/>
      <c r="AC523" s="1045">
        <f>J523-O523</f>
        <v>0</v>
      </c>
      <c r="AD523" s="1046"/>
      <c r="AE523" s="1046"/>
      <c r="AF523" s="1046"/>
    </row>
    <row r="524" spans="1:32" s="141" customFormat="1" ht="15" customHeight="1">
      <c r="A524" s="1366" t="s">
        <v>1704</v>
      </c>
      <c r="B524" s="1367"/>
      <c r="C524" s="1367"/>
      <c r="D524" s="1367"/>
      <c r="E524" s="1347">
        <v>0</v>
      </c>
      <c r="F524" s="1348"/>
      <c r="G524" s="1348"/>
      <c r="H524" s="1348"/>
      <c r="I524" s="1348"/>
      <c r="J524" s="1347">
        <v>0</v>
      </c>
      <c r="K524" s="1348"/>
      <c r="L524" s="1348"/>
      <c r="M524" s="1348"/>
      <c r="N524" s="1348"/>
      <c r="O524" s="1347">
        <v>0</v>
      </c>
      <c r="P524" s="1348"/>
      <c r="Q524" s="1348"/>
      <c r="R524" s="1348"/>
      <c r="S524" s="1348"/>
      <c r="T524" s="1363">
        <v>0</v>
      </c>
      <c r="U524" s="1364"/>
      <c r="V524" s="1041" t="e">
        <f>J524/E524*100</f>
        <v>#DIV/0!</v>
      </c>
      <c r="W524" s="1042"/>
      <c r="X524" s="1042"/>
      <c r="Y524" s="1045">
        <f>E524-J524</f>
        <v>0</v>
      </c>
      <c r="Z524" s="1046"/>
      <c r="AA524" s="1046"/>
      <c r="AB524" s="1046"/>
      <c r="AC524" s="1045">
        <f>J524-O524</f>
        <v>0</v>
      </c>
      <c r="AD524" s="1046"/>
      <c r="AE524" s="1046"/>
      <c r="AF524" s="1046"/>
    </row>
    <row r="525" spans="1:32" s="141" customFormat="1" ht="15" customHeight="1">
      <c r="A525" s="1366" t="s">
        <v>1705</v>
      </c>
      <c r="B525" s="1367"/>
      <c r="C525" s="1367"/>
      <c r="D525" s="1367"/>
      <c r="E525" s="1347">
        <v>0</v>
      </c>
      <c r="F525" s="1348"/>
      <c r="G525" s="1348"/>
      <c r="H525" s="1348"/>
      <c r="I525" s="1348"/>
      <c r="J525" s="1347">
        <v>0</v>
      </c>
      <c r="K525" s="1348"/>
      <c r="L525" s="1348"/>
      <c r="M525" s="1348"/>
      <c r="N525" s="1348"/>
      <c r="O525" s="1347">
        <v>0</v>
      </c>
      <c r="P525" s="1348"/>
      <c r="Q525" s="1348"/>
      <c r="R525" s="1348"/>
      <c r="S525" s="1348"/>
      <c r="T525" s="1351">
        <v>0</v>
      </c>
      <c r="U525" s="1352"/>
      <c r="V525" s="1041" t="e">
        <f>J525/E525*100</f>
        <v>#DIV/0!</v>
      </c>
      <c r="W525" s="1042"/>
      <c r="X525" s="1042"/>
      <c r="Y525" s="1045">
        <f>E525-J525</f>
        <v>0</v>
      </c>
      <c r="Z525" s="1046"/>
      <c r="AA525" s="1046"/>
      <c r="AB525" s="1046"/>
      <c r="AC525" s="1045">
        <f>J525-O525</f>
        <v>0</v>
      </c>
      <c r="AD525" s="1046"/>
      <c r="AE525" s="1046"/>
      <c r="AF525" s="1046"/>
    </row>
    <row r="526" spans="1:32" s="141" customFormat="1" ht="15" customHeight="1">
      <c r="A526" s="1366" t="s">
        <v>1706</v>
      </c>
      <c r="B526" s="1367"/>
      <c r="C526" s="1367"/>
      <c r="D526" s="1367"/>
      <c r="E526" s="1347">
        <v>61829000</v>
      </c>
      <c r="F526" s="1348"/>
      <c r="G526" s="1348"/>
      <c r="H526" s="1348"/>
      <c r="I526" s="1348"/>
      <c r="J526" s="1347">
        <v>61308000</v>
      </c>
      <c r="K526" s="1348"/>
      <c r="L526" s="1348"/>
      <c r="M526" s="1348"/>
      <c r="N526" s="1348"/>
      <c r="O526" s="1347">
        <v>0</v>
      </c>
      <c r="P526" s="1348"/>
      <c r="Q526" s="1348"/>
      <c r="R526" s="1348"/>
      <c r="S526" s="1348"/>
      <c r="T526" s="1351">
        <v>100</v>
      </c>
      <c r="U526" s="1352"/>
      <c r="V526" s="1041">
        <f>J526/E526*100</f>
        <v>99.15735334551748</v>
      </c>
      <c r="W526" s="1042"/>
      <c r="X526" s="1042"/>
      <c r="Y526" s="1045">
        <f>E526-J526</f>
        <v>521000</v>
      </c>
      <c r="Z526" s="1046"/>
      <c r="AA526" s="1046"/>
      <c r="AB526" s="1046"/>
      <c r="AC526" s="1045">
        <f>J526-O526</f>
        <v>61308000</v>
      </c>
      <c r="AD526" s="1046"/>
      <c r="AE526" s="1046"/>
      <c r="AF526" s="1046"/>
    </row>
    <row r="527" spans="1:32" s="141" customFormat="1" ht="19.5" customHeight="1">
      <c r="A527" s="1558" t="s">
        <v>10</v>
      </c>
      <c r="B527" s="1559"/>
      <c r="C527" s="1559"/>
      <c r="D527" s="1560"/>
      <c r="E527" s="1206">
        <f>SUM(E523:I526)</f>
        <v>61829000</v>
      </c>
      <c r="F527" s="1165"/>
      <c r="G527" s="1165"/>
      <c r="H527" s="1165"/>
      <c r="I527" s="1166"/>
      <c r="J527" s="1206">
        <f>SUM(J523:N526)</f>
        <v>61308000</v>
      </c>
      <c r="K527" s="1165"/>
      <c r="L527" s="1165"/>
      <c r="M527" s="1165"/>
      <c r="N527" s="1166"/>
      <c r="O527" s="1206">
        <f>SUM(O523:S526)</f>
        <v>0</v>
      </c>
      <c r="P527" s="1165"/>
      <c r="Q527" s="1165"/>
      <c r="R527" s="1165"/>
      <c r="S527" s="1166"/>
      <c r="T527" s="1351">
        <v>100</v>
      </c>
      <c r="U527" s="1352"/>
      <c r="V527" s="1041">
        <f>J527/E527*100</f>
        <v>99.15735334551748</v>
      </c>
      <c r="W527" s="1042"/>
      <c r="X527" s="1042"/>
      <c r="Y527" s="1045">
        <f>E527-J527</f>
        <v>521000</v>
      </c>
      <c r="Z527" s="1046"/>
      <c r="AA527" s="1046"/>
      <c r="AB527" s="1046"/>
      <c r="AC527" s="1045">
        <f>J527-O527</f>
        <v>61308000</v>
      </c>
      <c r="AD527" s="1046"/>
      <c r="AE527" s="1046"/>
      <c r="AF527" s="1046"/>
    </row>
    <row r="528" spans="1:22" s="141" customFormat="1" ht="6" customHeight="1">
      <c r="A528" s="650"/>
      <c r="B528" s="710"/>
      <c r="C528" s="710"/>
      <c r="D528" s="710"/>
      <c r="E528" s="724"/>
      <c r="F528" s="724"/>
      <c r="G528" s="724"/>
      <c r="H528" s="724"/>
      <c r="I528" s="724"/>
      <c r="J528" s="724"/>
      <c r="K528" s="724"/>
      <c r="L528" s="724"/>
      <c r="M528" s="724"/>
      <c r="N528" s="724"/>
      <c r="O528" s="724"/>
      <c r="P528" s="724"/>
      <c r="Q528" s="724"/>
      <c r="R528" s="724"/>
      <c r="S528" s="724"/>
      <c r="T528" s="724"/>
      <c r="U528" s="724"/>
      <c r="V528" s="52"/>
    </row>
    <row r="529" spans="1:22" s="141" customFormat="1" ht="19.5" customHeight="1">
      <c r="A529" s="650"/>
      <c r="B529" s="710"/>
      <c r="C529" s="710"/>
      <c r="D529" s="710">
        <f>D518+1</f>
        <v>5</v>
      </c>
      <c r="E529" s="1362" t="s">
        <v>1527</v>
      </c>
      <c r="F529" s="1362"/>
      <c r="G529" s="1362"/>
      <c r="H529" s="1362"/>
      <c r="I529" s="1362"/>
      <c r="J529" s="1362"/>
      <c r="K529" s="1362"/>
      <c r="L529" s="1362"/>
      <c r="M529" s="1362"/>
      <c r="N529" s="1362"/>
      <c r="O529" s="1362"/>
      <c r="P529" s="1362"/>
      <c r="Q529" s="1362"/>
      <c r="R529" s="1362"/>
      <c r="S529" s="1362"/>
      <c r="T529" s="1362"/>
      <c r="U529" s="1362"/>
      <c r="V529" s="52"/>
    </row>
    <row r="530" spans="1:22" s="141" customFormat="1" ht="60" customHeight="1">
      <c r="A530" s="650"/>
      <c r="B530" s="710"/>
      <c r="C530" s="710"/>
      <c r="D530" s="710"/>
      <c r="E530" s="1337" t="str">
        <f>"Realisasi Belanja Modal Komputer TA "&amp;'2.ISIAN DATA SKPD'!D11&amp;" sebesar Rp. 0, atau mencapai sebesar 0 % dari anggaran sebesar Rp. 0, kurang dari anggaran sebesar Rp. 0 .  Bila dibandingkan dengan realisasi TA "&amp;'2.ISIAN DATA SKPD'!D12&amp;" naik sebesar Rp. 0 atau 0 %."</f>
        <v>Realisasi Belanja Modal Komputer TA 2017 sebesar Rp. 0, atau mencapai sebesar 0 % dari anggaran sebesar Rp. 0, kurang dari anggaran sebesar Rp. 0 .  Bila dibandingkan dengan realisasi TA 2016 naik sebesar Rp. 0 atau 0 %.</v>
      </c>
      <c r="F530" s="1337"/>
      <c r="G530" s="1337"/>
      <c r="H530" s="1337"/>
      <c r="I530" s="1337"/>
      <c r="J530" s="1337"/>
      <c r="K530" s="1337"/>
      <c r="L530" s="1337"/>
      <c r="M530" s="1337"/>
      <c r="N530" s="1337"/>
      <c r="O530" s="1337"/>
      <c r="P530" s="1337"/>
      <c r="Q530" s="1337"/>
      <c r="R530" s="1337"/>
      <c r="S530" s="1337"/>
      <c r="T530" s="1337"/>
      <c r="U530" s="1337"/>
      <c r="V530" s="52"/>
    </row>
    <row r="531" spans="1:22" s="141" customFormat="1" ht="32.25" customHeight="1">
      <c r="A531" s="650"/>
      <c r="B531" s="710"/>
      <c r="C531" s="710"/>
      <c r="D531" s="710"/>
      <c r="E531" s="1337" t="s">
        <v>1534</v>
      </c>
      <c r="F531" s="1337"/>
      <c r="G531" s="1337"/>
      <c r="H531" s="1337"/>
      <c r="I531" s="1337"/>
      <c r="J531" s="1337"/>
      <c r="K531" s="1337"/>
      <c r="L531" s="1337"/>
      <c r="M531" s="1337"/>
      <c r="N531" s="1337"/>
      <c r="O531" s="1337"/>
      <c r="P531" s="1337"/>
      <c r="Q531" s="1337"/>
      <c r="R531" s="1337"/>
      <c r="S531" s="1337"/>
      <c r="T531" s="1337"/>
      <c r="U531" s="1337"/>
      <c r="V531" s="52"/>
    </row>
    <row r="532" spans="1:22" s="141" customFormat="1" ht="8.25" customHeight="1">
      <c r="A532" s="650"/>
      <c r="B532" s="710"/>
      <c r="C532" s="710"/>
      <c r="D532" s="710"/>
      <c r="E532" s="728"/>
      <c r="F532" s="728"/>
      <c r="G532" s="728"/>
      <c r="H532" s="728"/>
      <c r="I532" s="728"/>
      <c r="J532" s="728"/>
      <c r="K532" s="728"/>
      <c r="L532" s="728"/>
      <c r="M532" s="728"/>
      <c r="N532" s="728"/>
      <c r="O532" s="728"/>
      <c r="P532" s="728"/>
      <c r="Q532" s="728"/>
      <c r="R532" s="728"/>
      <c r="S532" s="728"/>
      <c r="T532" s="728"/>
      <c r="U532" s="728"/>
      <c r="V532" s="52"/>
    </row>
    <row r="533" spans="1:32" s="141" customFormat="1" ht="38.25" customHeight="1">
      <c r="A533" s="1245" t="s">
        <v>235</v>
      </c>
      <c r="B533" s="1246"/>
      <c r="C533" s="1246"/>
      <c r="D533" s="1246"/>
      <c r="E533" s="1244" t="str">
        <f>E522</f>
        <v>Anggaran</v>
      </c>
      <c r="F533" s="1244"/>
      <c r="G533" s="1244"/>
      <c r="H533" s="1244"/>
      <c r="I533" s="1244"/>
      <c r="J533" s="1244" t="str">
        <f>J522</f>
        <v>Realisasi                      TA 2017</v>
      </c>
      <c r="K533" s="1244"/>
      <c r="L533" s="1244"/>
      <c r="M533" s="1244"/>
      <c r="N533" s="1244"/>
      <c r="O533" s="1244" t="str">
        <f>O522</f>
        <v>Realisasi                   TA 2016</v>
      </c>
      <c r="P533" s="1244"/>
      <c r="Q533" s="1244"/>
      <c r="R533" s="1244"/>
      <c r="S533" s="1244"/>
      <c r="T533" s="1354" t="s">
        <v>1207</v>
      </c>
      <c r="U533" s="1355"/>
      <c r="V533" s="1087" t="s">
        <v>1673</v>
      </c>
      <c r="W533" s="1100"/>
      <c r="X533" s="1100"/>
      <c r="Y533" s="1092" t="s">
        <v>1674</v>
      </c>
      <c r="Z533" s="1046"/>
      <c r="AA533" s="1046"/>
      <c r="AB533" s="1046" t="s">
        <v>1673</v>
      </c>
      <c r="AC533" s="1092" t="s">
        <v>1675</v>
      </c>
      <c r="AD533" s="1046"/>
      <c r="AE533" s="1046"/>
      <c r="AF533" s="1046"/>
    </row>
    <row r="534" spans="1:32" s="141" customFormat="1" ht="17.25" customHeight="1">
      <c r="A534" s="1366" t="s">
        <v>1707</v>
      </c>
      <c r="B534" s="1367" t="s">
        <v>1707</v>
      </c>
      <c r="C534" s="1367" t="s">
        <v>1707</v>
      </c>
      <c r="D534" s="1367" t="s">
        <v>1707</v>
      </c>
      <c r="E534" s="1347">
        <f>'3.LRA'!D77</f>
        <v>82819000</v>
      </c>
      <c r="F534" s="1348"/>
      <c r="G534" s="1348"/>
      <c r="H534" s="1348"/>
      <c r="I534" s="1348"/>
      <c r="J534" s="1347">
        <f>'3.LRA'!E77</f>
        <v>80839160</v>
      </c>
      <c r="K534" s="1348"/>
      <c r="L534" s="1348"/>
      <c r="M534" s="1348"/>
      <c r="N534" s="1348"/>
      <c r="O534" s="1347">
        <v>0</v>
      </c>
      <c r="P534" s="1348"/>
      <c r="Q534" s="1348"/>
      <c r="R534" s="1348"/>
      <c r="S534" s="1348"/>
      <c r="T534" s="1721">
        <v>100</v>
      </c>
      <c r="U534" s="1722"/>
      <c r="V534" s="1041">
        <f>J534/E534*100</f>
        <v>97.60943744792861</v>
      </c>
      <c r="W534" s="1042"/>
      <c r="X534" s="1042"/>
      <c r="Y534" s="1045">
        <f>E534-J534</f>
        <v>1979840</v>
      </c>
      <c r="Z534" s="1046"/>
      <c r="AA534" s="1046"/>
      <c r="AB534" s="1046"/>
      <c r="AC534" s="1045">
        <f>J534-O534</f>
        <v>80839160</v>
      </c>
      <c r="AD534" s="1046"/>
      <c r="AE534" s="1046"/>
      <c r="AF534" s="1046"/>
    </row>
    <row r="535" spans="1:32" s="141" customFormat="1" ht="17.25" customHeight="1">
      <c r="A535" s="1366" t="s">
        <v>1708</v>
      </c>
      <c r="B535" s="1367" t="s">
        <v>1708</v>
      </c>
      <c r="C535" s="1367" t="s">
        <v>1708</v>
      </c>
      <c r="D535" s="1367" t="s">
        <v>1708</v>
      </c>
      <c r="E535" s="1347">
        <v>0</v>
      </c>
      <c r="F535" s="1348"/>
      <c r="G535" s="1348"/>
      <c r="H535" s="1348"/>
      <c r="I535" s="1348"/>
      <c r="J535" s="1347">
        <v>0</v>
      </c>
      <c r="K535" s="1348"/>
      <c r="L535" s="1348"/>
      <c r="M535" s="1348"/>
      <c r="N535" s="1348"/>
      <c r="O535" s="1347">
        <v>0</v>
      </c>
      <c r="P535" s="1348"/>
      <c r="Q535" s="1348"/>
      <c r="R535" s="1348"/>
      <c r="S535" s="1348"/>
      <c r="T535" s="1721">
        <v>0</v>
      </c>
      <c r="U535" s="1722"/>
      <c r="V535" s="1041" t="e">
        <f>J535/E535*100</f>
        <v>#DIV/0!</v>
      </c>
      <c r="W535" s="1042"/>
      <c r="X535" s="1042"/>
      <c r="Y535" s="1045">
        <f>E535-J535</f>
        <v>0</v>
      </c>
      <c r="Z535" s="1046"/>
      <c r="AA535" s="1046"/>
      <c r="AB535" s="1046"/>
      <c r="AC535" s="1045">
        <f>J535-O535</f>
        <v>0</v>
      </c>
      <c r="AD535" s="1046"/>
      <c r="AE535" s="1046"/>
      <c r="AF535" s="1046"/>
    </row>
    <row r="536" spans="1:32" s="141" customFormat="1" ht="27" customHeight="1">
      <c r="A536" s="1366" t="s">
        <v>1709</v>
      </c>
      <c r="B536" s="1367" t="s">
        <v>1709</v>
      </c>
      <c r="C536" s="1367" t="s">
        <v>1709</v>
      </c>
      <c r="D536" s="1367" t="s">
        <v>1709</v>
      </c>
      <c r="E536" s="1347">
        <v>0</v>
      </c>
      <c r="F536" s="1348"/>
      <c r="G536" s="1348"/>
      <c r="H536" s="1348"/>
      <c r="I536" s="1348"/>
      <c r="J536" s="1347">
        <v>0</v>
      </c>
      <c r="K536" s="1348"/>
      <c r="L536" s="1348"/>
      <c r="M536" s="1348"/>
      <c r="N536" s="1348"/>
      <c r="O536" s="1347">
        <v>0</v>
      </c>
      <c r="P536" s="1348"/>
      <c r="Q536" s="1348"/>
      <c r="R536" s="1348"/>
      <c r="S536" s="1348"/>
      <c r="T536" s="1721">
        <v>0</v>
      </c>
      <c r="U536" s="1722"/>
      <c r="V536" s="1041" t="e">
        <f>J536/E536*100</f>
        <v>#DIV/0!</v>
      </c>
      <c r="W536" s="1042"/>
      <c r="X536" s="1042"/>
      <c r="Y536" s="1045">
        <f>E536-J536</f>
        <v>0</v>
      </c>
      <c r="Z536" s="1046"/>
      <c r="AA536" s="1046"/>
      <c r="AB536" s="1046"/>
      <c r="AC536" s="1045">
        <f>J536-O536</f>
        <v>0</v>
      </c>
      <c r="AD536" s="1046"/>
      <c r="AE536" s="1046"/>
      <c r="AF536" s="1046"/>
    </row>
    <row r="537" spans="1:32" s="141" customFormat="1" ht="17.25" customHeight="1">
      <c r="A537" s="1126" t="s">
        <v>10</v>
      </c>
      <c r="B537" s="1359"/>
      <c r="C537" s="1359"/>
      <c r="D537" s="1360"/>
      <c r="E537" s="1206">
        <f>SUM(E534:I536)</f>
        <v>82819000</v>
      </c>
      <c r="F537" s="1165"/>
      <c r="G537" s="1165"/>
      <c r="H537" s="1165"/>
      <c r="I537" s="1166"/>
      <c r="J537" s="1206">
        <f>SUM(J534:N536)</f>
        <v>80839160</v>
      </c>
      <c r="K537" s="1165"/>
      <c r="L537" s="1165"/>
      <c r="M537" s="1165"/>
      <c r="N537" s="1166"/>
      <c r="O537" s="1206">
        <f>SUM(O534:S536)</f>
        <v>0</v>
      </c>
      <c r="P537" s="1165"/>
      <c r="Q537" s="1165"/>
      <c r="R537" s="1165"/>
      <c r="S537" s="1166"/>
      <c r="T537" s="1721">
        <v>100</v>
      </c>
      <c r="U537" s="1722"/>
      <c r="V537" s="1041">
        <f>J537/E537*100</f>
        <v>97.60943744792861</v>
      </c>
      <c r="W537" s="1042"/>
      <c r="X537" s="1042"/>
      <c r="Y537" s="1045">
        <f>E537-J537</f>
        <v>1979840</v>
      </c>
      <c r="Z537" s="1046"/>
      <c r="AA537" s="1046"/>
      <c r="AB537" s="1046"/>
      <c r="AC537" s="1045">
        <f>J537-O537</f>
        <v>80839160</v>
      </c>
      <c r="AD537" s="1046"/>
      <c r="AE537" s="1046"/>
      <c r="AF537" s="1046"/>
    </row>
    <row r="538" spans="1:32" s="141" customFormat="1" ht="68.25" customHeight="1">
      <c r="A538" s="650"/>
      <c r="B538" s="710"/>
      <c r="C538" s="710"/>
      <c r="D538" s="710"/>
      <c r="E538" s="728"/>
      <c r="F538" s="728"/>
      <c r="G538" s="728"/>
      <c r="H538" s="728"/>
      <c r="I538" s="728"/>
      <c r="J538" s="728"/>
      <c r="K538" s="728"/>
      <c r="L538" s="728"/>
      <c r="M538" s="728"/>
      <c r="N538" s="728"/>
      <c r="O538" s="728"/>
      <c r="P538" s="728"/>
      <c r="Q538" s="728"/>
      <c r="R538" s="728"/>
      <c r="S538" s="728"/>
      <c r="T538" s="728"/>
      <c r="U538" s="728"/>
      <c r="V538" s="1081"/>
      <c r="W538" s="1081"/>
      <c r="X538" s="1081"/>
      <c r="Y538" s="1082"/>
      <c r="Z538" s="1083"/>
      <c r="AA538" s="1083"/>
      <c r="AB538" s="1083"/>
      <c r="AC538" s="1082"/>
      <c r="AD538" s="1083"/>
      <c r="AE538" s="1083"/>
      <c r="AF538" s="1083"/>
    </row>
    <row r="539" spans="1:22" s="141" customFormat="1" ht="16.5" customHeight="1">
      <c r="A539" s="650"/>
      <c r="B539" s="710"/>
      <c r="C539" s="710"/>
      <c r="D539" s="710">
        <f>D529+1</f>
        <v>6</v>
      </c>
      <c r="E539" s="1362" t="s">
        <v>1528</v>
      </c>
      <c r="F539" s="1362"/>
      <c r="G539" s="1362"/>
      <c r="H539" s="1362"/>
      <c r="I539" s="1362"/>
      <c r="J539" s="1362"/>
      <c r="K539" s="1362"/>
      <c r="L539" s="1362"/>
      <c r="M539" s="1362"/>
      <c r="N539" s="1362"/>
      <c r="O539" s="1362"/>
      <c r="P539" s="1362"/>
      <c r="Q539" s="1362"/>
      <c r="R539" s="1362"/>
      <c r="S539" s="1362"/>
      <c r="T539" s="1362"/>
      <c r="U539" s="1362"/>
      <c r="V539" s="52"/>
    </row>
    <row r="540" spans="1:22" s="141" customFormat="1" ht="59.25" customHeight="1">
      <c r="A540" s="650"/>
      <c r="B540" s="710"/>
      <c r="C540" s="710"/>
      <c r="D540" s="710"/>
      <c r="E540" s="1337" t="str">
        <f>"Realisasi Belanja Alat Studio TA "&amp;'2.ISIAN DATA SKPD'!D21&amp;" sebesar Rp. 0, atau mencapai sebesar 0 % dari anggaran sebesar Rp. 0, kurang dari anggaran sebesar Rp. "&amp;FIXED(Y547)&amp;".  Bila dibandingkan dengan realisasi TA "&amp;'2.ISIAN DATA SKPD'!D22&amp;" naik sebesar Rp. "&amp;FIXED(AC547)&amp;" atau "&amp;FIXED(T547)&amp;"%."</f>
        <v>Realisasi Belanja Alat Studio TA  sebesar Rp. 0, atau mencapai sebesar 0 % dari anggaran sebesar Rp. 0, kurang dari anggaran sebesar Rp. 7,167,000.00.  Bila dibandingkan dengan realisasi TA  naik sebesar Rp. 16,430,000.00 atau 0.00%.</v>
      </c>
      <c r="F540" s="1337"/>
      <c r="G540" s="1337"/>
      <c r="H540" s="1337"/>
      <c r="I540" s="1337"/>
      <c r="J540" s="1337"/>
      <c r="K540" s="1337"/>
      <c r="L540" s="1337"/>
      <c r="M540" s="1337"/>
      <c r="N540" s="1337"/>
      <c r="O540" s="1337"/>
      <c r="P540" s="1337"/>
      <c r="Q540" s="1337"/>
      <c r="R540" s="1337"/>
      <c r="S540" s="1337"/>
      <c r="T540" s="1337"/>
      <c r="U540" s="1337"/>
      <c r="V540" s="52"/>
    </row>
    <row r="541" spans="1:22" s="141" customFormat="1" ht="30" customHeight="1">
      <c r="A541" s="650"/>
      <c r="B541" s="710"/>
      <c r="C541" s="710"/>
      <c r="D541" s="710"/>
      <c r="E541" s="1337" t="s">
        <v>1726</v>
      </c>
      <c r="F541" s="1337"/>
      <c r="G541" s="1337"/>
      <c r="H541" s="1337"/>
      <c r="I541" s="1337"/>
      <c r="J541" s="1337"/>
      <c r="K541" s="1337"/>
      <c r="L541" s="1337"/>
      <c r="M541" s="1337"/>
      <c r="N541" s="1337"/>
      <c r="O541" s="1337"/>
      <c r="P541" s="1337"/>
      <c r="Q541" s="1337"/>
      <c r="R541" s="1337"/>
      <c r="S541" s="1337"/>
      <c r="T541" s="1337"/>
      <c r="U541" s="1337"/>
      <c r="V541" s="52"/>
    </row>
    <row r="542" spans="1:22" s="141" customFormat="1" ht="3" customHeight="1">
      <c r="A542" s="650"/>
      <c r="B542" s="710"/>
      <c r="C542" s="710"/>
      <c r="D542" s="710"/>
      <c r="E542" s="728"/>
      <c r="F542" s="728"/>
      <c r="G542" s="728"/>
      <c r="H542" s="728"/>
      <c r="I542" s="728"/>
      <c r="J542" s="728"/>
      <c r="K542" s="728"/>
      <c r="L542" s="728"/>
      <c r="M542" s="728"/>
      <c r="N542" s="728"/>
      <c r="O542" s="728"/>
      <c r="P542" s="728"/>
      <c r="Q542" s="728"/>
      <c r="R542" s="728"/>
      <c r="S542" s="728"/>
      <c r="T542" s="728"/>
      <c r="U542" s="728"/>
      <c r="V542" s="52"/>
    </row>
    <row r="543" spans="1:32" s="141" customFormat="1" ht="26.25" customHeight="1">
      <c r="A543" s="1245" t="s">
        <v>561</v>
      </c>
      <c r="B543" s="1246"/>
      <c r="C543" s="1246"/>
      <c r="D543" s="1246"/>
      <c r="E543" s="1244" t="str">
        <f>E533</f>
        <v>Anggaran</v>
      </c>
      <c r="F543" s="1244"/>
      <c r="G543" s="1244"/>
      <c r="H543" s="1244"/>
      <c r="I543" s="1244"/>
      <c r="J543" s="1244" t="str">
        <f>J533</f>
        <v>Realisasi                      TA 2017</v>
      </c>
      <c r="K543" s="1244"/>
      <c r="L543" s="1244"/>
      <c r="M543" s="1244"/>
      <c r="N543" s="1244"/>
      <c r="O543" s="1244" t="str">
        <f>O533</f>
        <v>Realisasi                   TA 2016</v>
      </c>
      <c r="P543" s="1244"/>
      <c r="Q543" s="1244"/>
      <c r="R543" s="1244"/>
      <c r="S543" s="1244"/>
      <c r="T543" s="1354" t="s">
        <v>1207</v>
      </c>
      <c r="U543" s="1355"/>
      <c r="V543" s="1087" t="s">
        <v>1673</v>
      </c>
      <c r="W543" s="1100"/>
      <c r="X543" s="1100"/>
      <c r="Y543" s="1092" t="s">
        <v>1674</v>
      </c>
      <c r="Z543" s="1046"/>
      <c r="AA543" s="1046"/>
      <c r="AB543" s="1046" t="s">
        <v>1673</v>
      </c>
      <c r="AC543" s="1092" t="s">
        <v>1675</v>
      </c>
      <c r="AD543" s="1046"/>
      <c r="AE543" s="1046"/>
      <c r="AF543" s="1046"/>
    </row>
    <row r="544" spans="1:32" s="141" customFormat="1" ht="16.5" customHeight="1">
      <c r="A544" s="1366" t="str">
        <f>'3.LRA'!C78</f>
        <v>Pengadaan Alat Studio</v>
      </c>
      <c r="B544" s="1367" t="s">
        <v>1707</v>
      </c>
      <c r="C544" s="1367" t="s">
        <v>1707</v>
      </c>
      <c r="D544" s="1367" t="s">
        <v>1707</v>
      </c>
      <c r="E544" s="1347">
        <f>'3.LRA'!D78</f>
        <v>23597000</v>
      </c>
      <c r="F544" s="1348"/>
      <c r="G544" s="1348"/>
      <c r="H544" s="1348"/>
      <c r="I544" s="1348"/>
      <c r="J544" s="1347">
        <f>'3.LRA'!E78</f>
        <v>16430000</v>
      </c>
      <c r="K544" s="1348"/>
      <c r="L544" s="1348"/>
      <c r="M544" s="1348"/>
      <c r="N544" s="1348"/>
      <c r="O544" s="1347">
        <v>0</v>
      </c>
      <c r="P544" s="1348"/>
      <c r="Q544" s="1348"/>
      <c r="R544" s="1348"/>
      <c r="S544" s="1348"/>
      <c r="T544" s="1363">
        <v>0</v>
      </c>
      <c r="U544" s="1364"/>
      <c r="V544" s="1041">
        <f>J544/E544*100</f>
        <v>69.62749502055347</v>
      </c>
      <c r="W544" s="1042"/>
      <c r="X544" s="1042"/>
      <c r="Y544" s="1045">
        <f>E544-J544</f>
        <v>7167000</v>
      </c>
      <c r="Z544" s="1046"/>
      <c r="AA544" s="1046"/>
      <c r="AB544" s="1046"/>
      <c r="AC544" s="1045">
        <f>J544-O544</f>
        <v>16430000</v>
      </c>
      <c r="AD544" s="1046"/>
      <c r="AE544" s="1046"/>
      <c r="AF544" s="1046"/>
    </row>
    <row r="545" spans="1:32" s="141" customFormat="1" ht="16.5" customHeight="1">
      <c r="A545" s="1366"/>
      <c r="B545" s="1367"/>
      <c r="C545" s="1367"/>
      <c r="D545" s="1367"/>
      <c r="E545" s="1347">
        <v>0</v>
      </c>
      <c r="F545" s="1348"/>
      <c r="G545" s="1348"/>
      <c r="H545" s="1348"/>
      <c r="I545" s="1348"/>
      <c r="J545" s="1347">
        <v>0</v>
      </c>
      <c r="K545" s="1348"/>
      <c r="L545" s="1348"/>
      <c r="M545" s="1348"/>
      <c r="N545" s="1348"/>
      <c r="O545" s="1347">
        <v>0</v>
      </c>
      <c r="P545" s="1348"/>
      <c r="Q545" s="1348"/>
      <c r="R545" s="1348"/>
      <c r="S545" s="1348"/>
      <c r="T545" s="1363">
        <v>0</v>
      </c>
      <c r="U545" s="1364"/>
      <c r="V545" s="1041" t="e">
        <f>J545/E545*100</f>
        <v>#DIV/0!</v>
      </c>
      <c r="W545" s="1042"/>
      <c r="X545" s="1042"/>
      <c r="Y545" s="1045">
        <f>E545-J545</f>
        <v>0</v>
      </c>
      <c r="Z545" s="1046"/>
      <c r="AA545" s="1046"/>
      <c r="AB545" s="1046"/>
      <c r="AC545" s="1045">
        <f>J545-O545</f>
        <v>0</v>
      </c>
      <c r="AD545" s="1046"/>
      <c r="AE545" s="1046"/>
      <c r="AF545" s="1046"/>
    </row>
    <row r="546" spans="1:32" s="141" customFormat="1" ht="16.5" customHeight="1">
      <c r="A546" s="1366"/>
      <c r="B546" s="1367"/>
      <c r="C546" s="1367"/>
      <c r="D546" s="1367"/>
      <c r="E546" s="1347">
        <v>0</v>
      </c>
      <c r="F546" s="1348"/>
      <c r="G546" s="1348"/>
      <c r="H546" s="1348"/>
      <c r="I546" s="1348"/>
      <c r="J546" s="1347">
        <v>0</v>
      </c>
      <c r="K546" s="1348"/>
      <c r="L546" s="1348"/>
      <c r="M546" s="1348"/>
      <c r="N546" s="1348"/>
      <c r="O546" s="1347">
        <v>0</v>
      </c>
      <c r="P546" s="1348"/>
      <c r="Q546" s="1348"/>
      <c r="R546" s="1348"/>
      <c r="S546" s="1348"/>
      <c r="T546" s="1363">
        <v>0</v>
      </c>
      <c r="U546" s="1364"/>
      <c r="V546" s="1041" t="e">
        <f>J546/E546*100</f>
        <v>#DIV/0!</v>
      </c>
      <c r="W546" s="1042"/>
      <c r="X546" s="1042"/>
      <c r="Y546" s="1045">
        <f>E546-J546</f>
        <v>0</v>
      </c>
      <c r="Z546" s="1046"/>
      <c r="AA546" s="1046"/>
      <c r="AB546" s="1046"/>
      <c r="AC546" s="1045">
        <f>J546-O546</f>
        <v>0</v>
      </c>
      <c r="AD546" s="1046"/>
      <c r="AE546" s="1046"/>
      <c r="AF546" s="1046"/>
    </row>
    <row r="547" spans="1:32" s="141" customFormat="1" ht="16.5" customHeight="1">
      <c r="A547" s="1126" t="s">
        <v>10</v>
      </c>
      <c r="B547" s="1359"/>
      <c r="C547" s="1359"/>
      <c r="D547" s="1360"/>
      <c r="E547" s="1206">
        <f>SUM(E544:I546)</f>
        <v>23597000</v>
      </c>
      <c r="F547" s="1165"/>
      <c r="G547" s="1165"/>
      <c r="H547" s="1165"/>
      <c r="I547" s="1166"/>
      <c r="J547" s="1206">
        <f>SUM(J544:N546)</f>
        <v>16430000</v>
      </c>
      <c r="K547" s="1165"/>
      <c r="L547" s="1165"/>
      <c r="M547" s="1165"/>
      <c r="N547" s="1166"/>
      <c r="O547" s="1206">
        <f>SUM(O544:S546)</f>
        <v>0</v>
      </c>
      <c r="P547" s="1165"/>
      <c r="Q547" s="1165"/>
      <c r="R547" s="1165"/>
      <c r="S547" s="1166"/>
      <c r="T547" s="1363">
        <v>0</v>
      </c>
      <c r="U547" s="1364"/>
      <c r="V547" s="1041">
        <f>J547/E547*100</f>
        <v>69.62749502055347</v>
      </c>
      <c r="W547" s="1042"/>
      <c r="X547" s="1042"/>
      <c r="Y547" s="1045">
        <f>E547-J547</f>
        <v>7167000</v>
      </c>
      <c r="Z547" s="1046"/>
      <c r="AA547" s="1046"/>
      <c r="AB547" s="1046"/>
      <c r="AC547" s="1045">
        <f>J547-O547</f>
        <v>16430000</v>
      </c>
      <c r="AD547" s="1046"/>
      <c r="AE547" s="1046"/>
      <c r="AF547" s="1046"/>
    </row>
    <row r="548" spans="1:22" s="141" customFormat="1" ht="5.25" customHeight="1">
      <c r="A548" s="650"/>
      <c r="B548" s="710"/>
      <c r="C548" s="710"/>
      <c r="D548" s="710"/>
      <c r="E548" s="729"/>
      <c r="F548" s="729"/>
      <c r="G548" s="729"/>
      <c r="H548" s="729"/>
      <c r="I548" s="729"/>
      <c r="J548" s="729"/>
      <c r="K548" s="729"/>
      <c r="L548" s="729"/>
      <c r="M548" s="729"/>
      <c r="N548" s="729"/>
      <c r="O548" s="729"/>
      <c r="P548" s="729"/>
      <c r="Q548" s="729"/>
      <c r="R548" s="729"/>
      <c r="S548" s="729"/>
      <c r="T548" s="729"/>
      <c r="U548" s="729"/>
      <c r="V548" s="52"/>
    </row>
    <row r="549" spans="1:22" s="141" customFormat="1" ht="16.5" customHeight="1">
      <c r="A549" s="650"/>
      <c r="B549" s="710"/>
      <c r="C549" s="710"/>
      <c r="D549" s="710">
        <f>D539+1</f>
        <v>7</v>
      </c>
      <c r="E549" s="1362" t="s">
        <v>1529</v>
      </c>
      <c r="F549" s="1362"/>
      <c r="G549" s="1362"/>
      <c r="H549" s="1362"/>
      <c r="I549" s="1362"/>
      <c r="J549" s="1362"/>
      <c r="K549" s="1362"/>
      <c r="L549" s="1362"/>
      <c r="M549" s="1362"/>
      <c r="N549" s="1362"/>
      <c r="O549" s="1362"/>
      <c r="P549" s="1362"/>
      <c r="Q549" s="1362"/>
      <c r="R549" s="1362"/>
      <c r="S549" s="1362"/>
      <c r="T549" s="1362"/>
      <c r="U549" s="1362"/>
      <c r="V549" s="52"/>
    </row>
    <row r="550" spans="1:22" s="141" customFormat="1" ht="61.5" customHeight="1">
      <c r="A550" s="650"/>
      <c r="B550" s="710"/>
      <c r="C550" s="710"/>
      <c r="D550" s="710"/>
      <c r="E550" s="1337" t="str">
        <f>"Realisasi Belanja Alat Komunikasi TA "&amp;'2.ISIAN DATA SKPD'!D11&amp;" sebesar Rp. 0, atau mencapai sebesar 0 % dari anggaran sebesar Rp. 0, kurang dari anggaran sebesar Rp. 0 .  Bila dibandingkan dengan realisasi TA "&amp;'2.ISIAN DATA SKPD'!D32&amp;" naik sebesar Rp. 0 atau 0 %."</f>
        <v>Realisasi Belanja Alat Komunikasi TA 2017 sebesar Rp. 0, atau mencapai sebesar 0 % dari anggaran sebesar Rp. 0, kurang dari anggaran sebesar Rp. 0 .  Bila dibandingkan dengan realisasi TA  naik sebesar Rp. 0 atau 0 %.</v>
      </c>
      <c r="F550" s="1337"/>
      <c r="G550" s="1337"/>
      <c r="H550" s="1337"/>
      <c r="I550" s="1337"/>
      <c r="J550" s="1337"/>
      <c r="K550" s="1337"/>
      <c r="L550" s="1337"/>
      <c r="M550" s="1337"/>
      <c r="N550" s="1337"/>
      <c r="O550" s="1337"/>
      <c r="P550" s="1337"/>
      <c r="Q550" s="1337"/>
      <c r="R550" s="1337"/>
      <c r="S550" s="1337"/>
      <c r="T550" s="1337"/>
      <c r="U550" s="1337"/>
      <c r="V550" s="52"/>
    </row>
    <row r="551" spans="1:22" s="141" customFormat="1" ht="30.75" customHeight="1">
      <c r="A551" s="650"/>
      <c r="B551" s="710"/>
      <c r="C551" s="710"/>
      <c r="D551" s="710"/>
      <c r="E551" s="1337" t="s">
        <v>1728</v>
      </c>
      <c r="F551" s="1337"/>
      <c r="G551" s="1337"/>
      <c r="H551" s="1337"/>
      <c r="I551" s="1337"/>
      <c r="J551" s="1337"/>
      <c r="K551" s="1337"/>
      <c r="L551" s="1337"/>
      <c r="M551" s="1337"/>
      <c r="N551" s="1337"/>
      <c r="O551" s="1337"/>
      <c r="P551" s="1337"/>
      <c r="Q551" s="1337"/>
      <c r="R551" s="1337"/>
      <c r="S551" s="1337"/>
      <c r="T551" s="1337"/>
      <c r="U551" s="1337"/>
      <c r="V551" s="52"/>
    </row>
    <row r="552" spans="1:22" s="141" customFormat="1" ht="3.75" customHeight="1">
      <c r="A552" s="650"/>
      <c r="B552" s="710"/>
      <c r="C552" s="710"/>
      <c r="D552" s="710"/>
      <c r="E552" s="728"/>
      <c r="F552" s="728"/>
      <c r="G552" s="728"/>
      <c r="H552" s="728"/>
      <c r="I552" s="728"/>
      <c r="J552" s="728"/>
      <c r="K552" s="728"/>
      <c r="L552" s="728"/>
      <c r="M552" s="728"/>
      <c r="N552" s="728"/>
      <c r="O552" s="728"/>
      <c r="P552" s="728"/>
      <c r="Q552" s="728"/>
      <c r="R552" s="728"/>
      <c r="S552" s="728"/>
      <c r="T552" s="728"/>
      <c r="U552" s="728"/>
      <c r="V552" s="52"/>
    </row>
    <row r="553" spans="1:32" s="141" customFormat="1" ht="29.25" customHeight="1">
      <c r="A553" s="1245" t="s">
        <v>1727</v>
      </c>
      <c r="B553" s="1246"/>
      <c r="C553" s="1246"/>
      <c r="D553" s="1246"/>
      <c r="E553" s="1244" t="str">
        <f>E543</f>
        <v>Anggaran</v>
      </c>
      <c r="F553" s="1244"/>
      <c r="G553" s="1244"/>
      <c r="H553" s="1244"/>
      <c r="I553" s="1244"/>
      <c r="J553" s="1244" t="str">
        <f>J543</f>
        <v>Realisasi                      TA 2017</v>
      </c>
      <c r="K553" s="1244"/>
      <c r="L553" s="1244"/>
      <c r="M553" s="1244"/>
      <c r="N553" s="1244"/>
      <c r="O553" s="1244" t="str">
        <f>O543</f>
        <v>Realisasi                   TA 2016</v>
      </c>
      <c r="P553" s="1244"/>
      <c r="Q553" s="1244"/>
      <c r="R553" s="1244"/>
      <c r="S553" s="1244"/>
      <c r="T553" s="1354" t="s">
        <v>1207</v>
      </c>
      <c r="U553" s="1355"/>
      <c r="V553" s="1087" t="s">
        <v>1673</v>
      </c>
      <c r="W553" s="1100"/>
      <c r="X553" s="1100"/>
      <c r="Y553" s="1092" t="s">
        <v>1674</v>
      </c>
      <c r="Z553" s="1046"/>
      <c r="AA553" s="1046"/>
      <c r="AB553" s="1046" t="s">
        <v>1673</v>
      </c>
      <c r="AC553" s="1092" t="s">
        <v>1675</v>
      </c>
      <c r="AD553" s="1046"/>
      <c r="AE553" s="1046"/>
      <c r="AF553" s="1046"/>
    </row>
    <row r="554" spans="1:32" s="141" customFormat="1" ht="16.5" customHeight="1">
      <c r="A554" s="1366" t="s">
        <v>1575</v>
      </c>
      <c r="B554" s="1367" t="s">
        <v>1707</v>
      </c>
      <c r="C554" s="1367" t="s">
        <v>1707</v>
      </c>
      <c r="D554" s="1367" t="s">
        <v>1707</v>
      </c>
      <c r="E554" s="1347">
        <v>0</v>
      </c>
      <c r="F554" s="1348"/>
      <c r="G554" s="1348"/>
      <c r="H554" s="1348"/>
      <c r="I554" s="1348"/>
      <c r="J554" s="1347">
        <v>0</v>
      </c>
      <c r="K554" s="1348"/>
      <c r="L554" s="1348"/>
      <c r="M554" s="1348"/>
      <c r="N554" s="1348"/>
      <c r="O554" s="1347">
        <v>0</v>
      </c>
      <c r="P554" s="1348"/>
      <c r="Q554" s="1348"/>
      <c r="R554" s="1348"/>
      <c r="S554" s="1348"/>
      <c r="T554" s="1363">
        <v>0</v>
      </c>
      <c r="U554" s="1364"/>
      <c r="V554" s="1041" t="e">
        <f>J554/E554*100</f>
        <v>#DIV/0!</v>
      </c>
      <c r="W554" s="1042"/>
      <c r="X554" s="1042"/>
      <c r="Y554" s="1045">
        <f>E554-J554</f>
        <v>0</v>
      </c>
      <c r="Z554" s="1046"/>
      <c r="AA554" s="1046"/>
      <c r="AB554" s="1046"/>
      <c r="AC554" s="1045">
        <f>J554-O554</f>
        <v>0</v>
      </c>
      <c r="AD554" s="1046"/>
      <c r="AE554" s="1046"/>
      <c r="AF554" s="1046"/>
    </row>
    <row r="555" spans="1:32" s="141" customFormat="1" ht="16.5" customHeight="1">
      <c r="A555" s="1126" t="s">
        <v>10</v>
      </c>
      <c r="B555" s="1359"/>
      <c r="C555" s="1359"/>
      <c r="D555" s="1360"/>
      <c r="E555" s="1206">
        <f>SUM(E554:I554)</f>
        <v>0</v>
      </c>
      <c r="F555" s="1165"/>
      <c r="G555" s="1165"/>
      <c r="H555" s="1165"/>
      <c r="I555" s="1166"/>
      <c r="J555" s="1206">
        <f>SUM(J554:N554)</f>
        <v>0</v>
      </c>
      <c r="K555" s="1165"/>
      <c r="L555" s="1165"/>
      <c r="M555" s="1165"/>
      <c r="N555" s="1166"/>
      <c r="O555" s="1206">
        <f>SUM(O554:S554)</f>
        <v>0</v>
      </c>
      <c r="P555" s="1165"/>
      <c r="Q555" s="1165"/>
      <c r="R555" s="1165"/>
      <c r="S555" s="1166"/>
      <c r="T555" s="1363">
        <v>0</v>
      </c>
      <c r="U555" s="1364"/>
      <c r="V555" s="1041" t="e">
        <f>J555/E555*100</f>
        <v>#DIV/0!</v>
      </c>
      <c r="W555" s="1042"/>
      <c r="X555" s="1042"/>
      <c r="Y555" s="1045">
        <f>E555-J555</f>
        <v>0</v>
      </c>
      <c r="Z555" s="1046"/>
      <c r="AA555" s="1046"/>
      <c r="AB555" s="1046"/>
      <c r="AC555" s="1045">
        <f>J555-O555</f>
        <v>0</v>
      </c>
      <c r="AD555" s="1046"/>
      <c r="AE555" s="1046"/>
      <c r="AF555" s="1046"/>
    </row>
    <row r="556" spans="1:22" s="141" customFormat="1" ht="8.25" customHeight="1">
      <c r="A556" s="650"/>
      <c r="B556" s="710"/>
      <c r="C556" s="710"/>
      <c r="D556" s="710"/>
      <c r="E556" s="729"/>
      <c r="F556" s="729"/>
      <c r="G556" s="729"/>
      <c r="H556" s="729"/>
      <c r="I556" s="729"/>
      <c r="J556" s="729"/>
      <c r="K556" s="729"/>
      <c r="L556" s="729"/>
      <c r="M556" s="729"/>
      <c r="N556" s="729"/>
      <c r="O556" s="729"/>
      <c r="P556" s="729"/>
      <c r="Q556" s="729"/>
      <c r="R556" s="729"/>
      <c r="S556" s="729"/>
      <c r="T556" s="729"/>
      <c r="U556" s="729"/>
      <c r="V556" s="52"/>
    </row>
    <row r="557" spans="1:22" s="141" customFormat="1" ht="16.5" customHeight="1">
      <c r="A557" s="650"/>
      <c r="B557" s="710"/>
      <c r="C557" s="710"/>
      <c r="D557" s="710">
        <f>D549+1</f>
        <v>8</v>
      </c>
      <c r="E557" s="1362" t="s">
        <v>1530</v>
      </c>
      <c r="F557" s="1362"/>
      <c r="G557" s="1362"/>
      <c r="H557" s="1362"/>
      <c r="I557" s="1362"/>
      <c r="J557" s="1362"/>
      <c r="K557" s="1362"/>
      <c r="L557" s="1362"/>
      <c r="M557" s="1362"/>
      <c r="N557" s="1362"/>
      <c r="O557" s="1362"/>
      <c r="P557" s="1362"/>
      <c r="Q557" s="1362"/>
      <c r="R557" s="1362"/>
      <c r="S557" s="1362"/>
      <c r="T557" s="1362"/>
      <c r="U557" s="1362"/>
      <c r="V557" s="52"/>
    </row>
    <row r="558" spans="1:22" s="141" customFormat="1" ht="59.25" customHeight="1">
      <c r="A558" s="650"/>
      <c r="B558" s="710"/>
      <c r="C558" s="710"/>
      <c r="D558" s="710"/>
      <c r="E558" s="1337" t="str">
        <f>"Realisasi Belanja Modal Alat Kedokteran TA "&amp;'2.ISIAN DATA SKPD'!D11&amp;" sebesar Rp. 0 atau mencapai sebesar 0 % dari anggaran sebesar Rp. 0, kurang dari anggaran sebesar Rp. 0 . Bila dibandingkan dengan realisasi TA "&amp;'2.ISIAN DATA SKPD'!D12&amp;" naik sebesar Rp. 0 atau 0%."</f>
        <v>Realisasi Belanja Modal Alat Kedokteran TA 2017 sebesar Rp. 0 atau mencapai sebesar 0 % dari anggaran sebesar Rp. 0, kurang dari anggaran sebesar Rp. 0 . Bila dibandingkan dengan realisasi TA 2016 naik sebesar Rp. 0 atau 0%.</v>
      </c>
      <c r="F558" s="1337"/>
      <c r="G558" s="1337"/>
      <c r="H558" s="1337"/>
      <c r="I558" s="1337"/>
      <c r="J558" s="1337"/>
      <c r="K558" s="1337"/>
      <c r="L558" s="1337"/>
      <c r="M558" s="1337"/>
      <c r="N558" s="1337"/>
      <c r="O558" s="1337"/>
      <c r="P558" s="1337"/>
      <c r="Q558" s="1337"/>
      <c r="R558" s="1337"/>
      <c r="S558" s="1337"/>
      <c r="T558" s="1337"/>
      <c r="U558" s="1337"/>
      <c r="V558" s="52"/>
    </row>
    <row r="559" spans="1:22" s="141" customFormat="1" ht="30" customHeight="1">
      <c r="A559" s="650"/>
      <c r="B559" s="710"/>
      <c r="C559" s="710"/>
      <c r="D559" s="710"/>
      <c r="E559" s="1337" t="s">
        <v>1533</v>
      </c>
      <c r="F559" s="1337"/>
      <c r="G559" s="1337"/>
      <c r="H559" s="1337"/>
      <c r="I559" s="1337"/>
      <c r="J559" s="1337"/>
      <c r="K559" s="1337"/>
      <c r="L559" s="1337"/>
      <c r="M559" s="1337"/>
      <c r="N559" s="1337"/>
      <c r="O559" s="1337"/>
      <c r="P559" s="1337"/>
      <c r="Q559" s="1337"/>
      <c r="R559" s="1337"/>
      <c r="S559" s="1337"/>
      <c r="T559" s="1337"/>
      <c r="U559" s="1337"/>
      <c r="V559" s="52"/>
    </row>
    <row r="560" spans="1:22" s="141" customFormat="1" ht="6" customHeight="1">
      <c r="A560" s="650"/>
      <c r="B560" s="710"/>
      <c r="C560" s="710"/>
      <c r="D560" s="710"/>
      <c r="E560" s="724"/>
      <c r="F560" s="724"/>
      <c r="G560" s="724"/>
      <c r="H560" s="724"/>
      <c r="I560" s="724"/>
      <c r="J560" s="724"/>
      <c r="K560" s="724"/>
      <c r="L560" s="724"/>
      <c r="M560" s="724"/>
      <c r="N560" s="724"/>
      <c r="O560" s="724"/>
      <c r="P560" s="724"/>
      <c r="Q560" s="724"/>
      <c r="R560" s="724"/>
      <c r="S560" s="724"/>
      <c r="T560" s="724"/>
      <c r="U560" s="724"/>
      <c r="V560" s="52"/>
    </row>
    <row r="561" spans="1:32" s="141" customFormat="1" ht="27.75" customHeight="1">
      <c r="A561" s="1245" t="s">
        <v>564</v>
      </c>
      <c r="B561" s="1246"/>
      <c r="C561" s="1246"/>
      <c r="D561" s="1246"/>
      <c r="E561" s="1244" t="str">
        <f>E533</f>
        <v>Anggaran</v>
      </c>
      <c r="F561" s="1244"/>
      <c r="G561" s="1244"/>
      <c r="H561" s="1244"/>
      <c r="I561" s="1244"/>
      <c r="J561" s="1244" t="str">
        <f>J533</f>
        <v>Realisasi                      TA 2017</v>
      </c>
      <c r="K561" s="1244"/>
      <c r="L561" s="1244"/>
      <c r="M561" s="1244"/>
      <c r="N561" s="1244"/>
      <c r="O561" s="1244" t="str">
        <f>O533</f>
        <v>Realisasi                   TA 2016</v>
      </c>
      <c r="P561" s="1244"/>
      <c r="Q561" s="1244"/>
      <c r="R561" s="1244"/>
      <c r="S561" s="1244"/>
      <c r="T561" s="1354" t="s">
        <v>1207</v>
      </c>
      <c r="U561" s="1355"/>
      <c r="V561" s="1087" t="s">
        <v>1673</v>
      </c>
      <c r="W561" s="1100"/>
      <c r="X561" s="1100"/>
      <c r="Y561" s="1092" t="s">
        <v>1674</v>
      </c>
      <c r="Z561" s="1046"/>
      <c r="AA561" s="1046"/>
      <c r="AB561" s="1046" t="s">
        <v>1673</v>
      </c>
      <c r="AC561" s="1092" t="s">
        <v>1675</v>
      </c>
      <c r="AD561" s="1046"/>
      <c r="AE561" s="1046"/>
      <c r="AF561" s="1046"/>
    </row>
    <row r="562" spans="1:32" s="141" customFormat="1" ht="16.5" customHeight="1">
      <c r="A562" s="1366" t="s">
        <v>1575</v>
      </c>
      <c r="B562" s="1367"/>
      <c r="C562" s="1367"/>
      <c r="D562" s="1367"/>
      <c r="E562" s="1347">
        <v>0</v>
      </c>
      <c r="F562" s="1348"/>
      <c r="G562" s="1348"/>
      <c r="H562" s="1348"/>
      <c r="I562" s="1348"/>
      <c r="J562" s="1347">
        <v>0</v>
      </c>
      <c r="K562" s="1348"/>
      <c r="L562" s="1348"/>
      <c r="M562" s="1348"/>
      <c r="N562" s="1348"/>
      <c r="O562" s="1347">
        <v>0</v>
      </c>
      <c r="P562" s="1348"/>
      <c r="Q562" s="1348"/>
      <c r="R562" s="1348"/>
      <c r="S562" s="1348"/>
      <c r="T562" s="1363">
        <v>0</v>
      </c>
      <c r="U562" s="1364"/>
      <c r="V562" s="1041" t="e">
        <f>J562/E562*100</f>
        <v>#DIV/0!</v>
      </c>
      <c r="W562" s="1042"/>
      <c r="X562" s="1042"/>
      <c r="Y562" s="1045">
        <f>E562-J562</f>
        <v>0</v>
      </c>
      <c r="Z562" s="1046"/>
      <c r="AA562" s="1046"/>
      <c r="AB562" s="1046"/>
      <c r="AC562" s="1045">
        <f>J562-O562</f>
        <v>0</v>
      </c>
      <c r="AD562" s="1046"/>
      <c r="AE562" s="1046"/>
      <c r="AF562" s="1046"/>
    </row>
    <row r="563" spans="1:32" s="141" customFormat="1" ht="16.5" customHeight="1">
      <c r="A563" s="1126" t="s">
        <v>10</v>
      </c>
      <c r="B563" s="1359"/>
      <c r="C563" s="1359"/>
      <c r="D563" s="1360"/>
      <c r="E563" s="1206">
        <f>SUM(E562:I562)</f>
        <v>0</v>
      </c>
      <c r="F563" s="1165"/>
      <c r="G563" s="1165"/>
      <c r="H563" s="1165"/>
      <c r="I563" s="1166"/>
      <c r="J563" s="1206">
        <f>SUM(J562:N562)</f>
        <v>0</v>
      </c>
      <c r="K563" s="1165"/>
      <c r="L563" s="1165"/>
      <c r="M563" s="1165"/>
      <c r="N563" s="1166"/>
      <c r="O563" s="1206">
        <f>SUM(O562:S562)</f>
        <v>0</v>
      </c>
      <c r="P563" s="1165"/>
      <c r="Q563" s="1165"/>
      <c r="R563" s="1165"/>
      <c r="S563" s="1166"/>
      <c r="T563" s="1363">
        <v>0</v>
      </c>
      <c r="U563" s="1364"/>
      <c r="V563" s="1041" t="e">
        <f>J563/E563*100</f>
        <v>#DIV/0!</v>
      </c>
      <c r="W563" s="1042"/>
      <c r="X563" s="1042"/>
      <c r="Y563" s="1045">
        <f>E563-J563</f>
        <v>0</v>
      </c>
      <c r="Z563" s="1046"/>
      <c r="AA563" s="1046"/>
      <c r="AB563" s="1046"/>
      <c r="AC563" s="1045">
        <f>J563-O563</f>
        <v>0</v>
      </c>
      <c r="AD563" s="1046"/>
      <c r="AE563" s="1046"/>
      <c r="AF563" s="1046"/>
    </row>
    <row r="564" spans="1:22" s="141" customFormat="1" ht="6.75" customHeight="1">
      <c r="A564" s="650"/>
      <c r="B564" s="710"/>
      <c r="C564" s="710"/>
      <c r="D564" s="710"/>
      <c r="E564" s="729"/>
      <c r="F564" s="729"/>
      <c r="G564" s="729"/>
      <c r="H564" s="729"/>
      <c r="I564" s="729"/>
      <c r="J564" s="729"/>
      <c r="K564" s="729"/>
      <c r="L564" s="729"/>
      <c r="M564" s="729"/>
      <c r="N564" s="729"/>
      <c r="O564" s="729"/>
      <c r="P564" s="729"/>
      <c r="Q564" s="729"/>
      <c r="R564" s="729"/>
      <c r="S564" s="729"/>
      <c r="T564" s="729"/>
      <c r="U564" s="729"/>
      <c r="V564" s="52"/>
    </row>
    <row r="565" spans="1:22" s="141" customFormat="1" ht="16.5" customHeight="1">
      <c r="A565" s="650"/>
      <c r="B565" s="710"/>
      <c r="C565" s="710"/>
      <c r="D565" s="710">
        <f>D557+1</f>
        <v>9</v>
      </c>
      <c r="E565" s="1362" t="s">
        <v>1531</v>
      </c>
      <c r="F565" s="1362"/>
      <c r="G565" s="1362"/>
      <c r="H565" s="1362"/>
      <c r="I565" s="1362"/>
      <c r="J565" s="1362"/>
      <c r="K565" s="1362"/>
      <c r="L565" s="1362"/>
      <c r="M565" s="1362"/>
      <c r="N565" s="1362"/>
      <c r="O565" s="1362"/>
      <c r="P565" s="1362"/>
      <c r="Q565" s="1362"/>
      <c r="R565" s="1362"/>
      <c r="S565" s="1362"/>
      <c r="T565" s="1362"/>
      <c r="U565" s="1362"/>
      <c r="V565" s="52"/>
    </row>
    <row r="566" spans="1:22" s="141" customFormat="1" ht="63" customHeight="1">
      <c r="A566" s="650"/>
      <c r="B566" s="710"/>
      <c r="C566" s="710"/>
      <c r="D566" s="710"/>
      <c r="E566" s="1337" t="str">
        <f>"Realisasi Belanja Modal Alat Kedokteran TA "&amp;'2.ISIAN DATA SKPD'!D11&amp;" sebesar Rp. 0, atau mencapai sebesar 0 % dari anggaran sebesar Rp. 0 , kurang dari anggaran sebesar Rp. 0 . Bila dibandingkan dengan realisasi TA "&amp;'2.ISIAN DATA SKPD'!D12&amp;" naik sebesar Rp. 0 atau 0 %."</f>
        <v>Realisasi Belanja Modal Alat Kedokteran TA 2017 sebesar Rp. 0, atau mencapai sebesar 0 % dari anggaran sebesar Rp. 0 , kurang dari anggaran sebesar Rp. 0 . Bila dibandingkan dengan realisasi TA 2016 naik sebesar Rp. 0 atau 0 %.</v>
      </c>
      <c r="F566" s="1337"/>
      <c r="G566" s="1337"/>
      <c r="H566" s="1337"/>
      <c r="I566" s="1337"/>
      <c r="J566" s="1337"/>
      <c r="K566" s="1337"/>
      <c r="L566" s="1337"/>
      <c r="M566" s="1337"/>
      <c r="N566" s="1337"/>
      <c r="O566" s="1337"/>
      <c r="P566" s="1337"/>
      <c r="Q566" s="1337"/>
      <c r="R566" s="1337"/>
      <c r="S566" s="1337"/>
      <c r="T566" s="1337"/>
      <c r="U566" s="1337"/>
      <c r="V566" s="52"/>
    </row>
    <row r="567" spans="1:22" s="141" customFormat="1" ht="32.25" customHeight="1">
      <c r="A567" s="650"/>
      <c r="B567" s="710"/>
      <c r="C567" s="710"/>
      <c r="D567" s="710"/>
      <c r="E567" s="1337" t="s">
        <v>1532</v>
      </c>
      <c r="F567" s="1337"/>
      <c r="G567" s="1337"/>
      <c r="H567" s="1337"/>
      <c r="I567" s="1337"/>
      <c r="J567" s="1337"/>
      <c r="K567" s="1337"/>
      <c r="L567" s="1337"/>
      <c r="M567" s="1337"/>
      <c r="N567" s="1337"/>
      <c r="O567" s="1337"/>
      <c r="P567" s="1337"/>
      <c r="Q567" s="1337"/>
      <c r="R567" s="1337"/>
      <c r="S567" s="1337"/>
      <c r="T567" s="1337"/>
      <c r="U567" s="1337"/>
      <c r="V567" s="52"/>
    </row>
    <row r="568" spans="1:22" s="141" customFormat="1" ht="9" customHeight="1" hidden="1">
      <c r="A568" s="650"/>
      <c r="B568" s="710"/>
      <c r="C568" s="710"/>
      <c r="D568" s="710"/>
      <c r="E568" s="724"/>
      <c r="F568" s="724"/>
      <c r="G568" s="724"/>
      <c r="H568" s="724"/>
      <c r="I568" s="724"/>
      <c r="J568" s="724"/>
      <c r="K568" s="724"/>
      <c r="L568" s="724"/>
      <c r="M568" s="724"/>
      <c r="N568" s="724"/>
      <c r="O568" s="724"/>
      <c r="P568" s="724"/>
      <c r="Q568" s="724"/>
      <c r="R568" s="724"/>
      <c r="S568" s="724"/>
      <c r="T568" s="724"/>
      <c r="U568" s="724"/>
      <c r="V568" s="52"/>
    </row>
    <row r="569" spans="1:32" s="141" customFormat="1" ht="30.75" customHeight="1">
      <c r="A569" s="1245" t="s">
        <v>565</v>
      </c>
      <c r="B569" s="1246"/>
      <c r="C569" s="1246"/>
      <c r="D569" s="1246"/>
      <c r="E569" s="1244" t="str">
        <f>E561</f>
        <v>Anggaran</v>
      </c>
      <c r="F569" s="1244"/>
      <c r="G569" s="1244"/>
      <c r="H569" s="1244"/>
      <c r="I569" s="1244"/>
      <c r="J569" s="1244" t="str">
        <f>J561</f>
        <v>Realisasi                      TA 2017</v>
      </c>
      <c r="K569" s="1244"/>
      <c r="L569" s="1244"/>
      <c r="M569" s="1244"/>
      <c r="N569" s="1244"/>
      <c r="O569" s="1244" t="str">
        <f>O561</f>
        <v>Realisasi                   TA 2016</v>
      </c>
      <c r="P569" s="1244"/>
      <c r="Q569" s="1244"/>
      <c r="R569" s="1244"/>
      <c r="S569" s="1244"/>
      <c r="T569" s="1354" t="s">
        <v>1207</v>
      </c>
      <c r="U569" s="1355"/>
      <c r="V569" s="1087" t="s">
        <v>1673</v>
      </c>
      <c r="W569" s="1100"/>
      <c r="X569" s="1100"/>
      <c r="Y569" s="1092" t="s">
        <v>1674</v>
      </c>
      <c r="Z569" s="1046"/>
      <c r="AA569" s="1046"/>
      <c r="AB569" s="1046" t="s">
        <v>1673</v>
      </c>
      <c r="AC569" s="1092" t="s">
        <v>1675</v>
      </c>
      <c r="AD569" s="1046"/>
      <c r="AE569" s="1046"/>
      <c r="AF569" s="1046"/>
    </row>
    <row r="570" spans="1:32" s="141" customFormat="1" ht="18" customHeight="1">
      <c r="A570" s="1404" t="s">
        <v>1575</v>
      </c>
      <c r="B570" s="1404"/>
      <c r="C570" s="1404"/>
      <c r="D570" s="1404"/>
      <c r="E570" s="1347">
        <v>0</v>
      </c>
      <c r="F570" s="1348"/>
      <c r="G570" s="1348"/>
      <c r="H570" s="1348"/>
      <c r="I570" s="1348"/>
      <c r="J570" s="1347">
        <v>0</v>
      </c>
      <c r="K570" s="1348"/>
      <c r="L570" s="1348"/>
      <c r="M570" s="1348"/>
      <c r="N570" s="1348"/>
      <c r="O570" s="1347">
        <v>0</v>
      </c>
      <c r="P570" s="1348"/>
      <c r="Q570" s="1348"/>
      <c r="R570" s="1348"/>
      <c r="S570" s="1348"/>
      <c r="T570" s="1363">
        <v>0</v>
      </c>
      <c r="U570" s="1364"/>
      <c r="V570" s="1041" t="e">
        <f>J570/E570*100</f>
        <v>#DIV/0!</v>
      </c>
      <c r="W570" s="1042"/>
      <c r="X570" s="1042"/>
      <c r="Y570" s="1045">
        <f>E570-J570</f>
        <v>0</v>
      </c>
      <c r="Z570" s="1046"/>
      <c r="AA570" s="1046"/>
      <c r="AB570" s="1046"/>
      <c r="AC570" s="1045">
        <f>J570-O570</f>
        <v>0</v>
      </c>
      <c r="AD570" s="1046"/>
      <c r="AE570" s="1046"/>
      <c r="AF570" s="1046"/>
    </row>
    <row r="571" spans="1:32" s="141" customFormat="1" ht="16.5" customHeight="1">
      <c r="A571" s="1126" t="s">
        <v>10</v>
      </c>
      <c r="B571" s="1359"/>
      <c r="C571" s="1359"/>
      <c r="D571" s="1360"/>
      <c r="E571" s="1206">
        <f>SUM(E570:I570)</f>
        <v>0</v>
      </c>
      <c r="F571" s="1165"/>
      <c r="G571" s="1165"/>
      <c r="H571" s="1165"/>
      <c r="I571" s="1166"/>
      <c r="J571" s="1206">
        <f>SUM(J570:N570)</f>
        <v>0</v>
      </c>
      <c r="K571" s="1165"/>
      <c r="L571" s="1165"/>
      <c r="M571" s="1165"/>
      <c r="N571" s="1166"/>
      <c r="O571" s="1206">
        <f>SUM(O570:S570)</f>
        <v>0</v>
      </c>
      <c r="P571" s="1165"/>
      <c r="Q571" s="1165"/>
      <c r="R571" s="1165"/>
      <c r="S571" s="1166"/>
      <c r="T571" s="1363">
        <v>0</v>
      </c>
      <c r="U571" s="1364"/>
      <c r="V571" s="1041" t="e">
        <f>J571/E571*100</f>
        <v>#DIV/0!</v>
      </c>
      <c r="W571" s="1042"/>
      <c r="X571" s="1042"/>
      <c r="Y571" s="1045">
        <f>E571-J571</f>
        <v>0</v>
      </c>
      <c r="Z571" s="1046"/>
      <c r="AA571" s="1046"/>
      <c r="AB571" s="1046"/>
      <c r="AC571" s="1045">
        <f>J571-O571</f>
        <v>0</v>
      </c>
      <c r="AD571" s="1046"/>
      <c r="AE571" s="1046"/>
      <c r="AF571" s="1046"/>
    </row>
    <row r="572" spans="1:22" s="141" customFormat="1" ht="9" customHeight="1">
      <c r="A572" s="650"/>
      <c r="B572" s="710"/>
      <c r="C572" s="710"/>
      <c r="D572" s="710"/>
      <c r="E572" s="710"/>
      <c r="F572" s="710"/>
      <c r="G572" s="710"/>
      <c r="H572" s="710"/>
      <c r="I572" s="710"/>
      <c r="J572" s="629"/>
      <c r="K572" s="629"/>
      <c r="L572" s="629"/>
      <c r="M572" s="629"/>
      <c r="N572" s="629"/>
      <c r="O572" s="629"/>
      <c r="P572" s="629"/>
      <c r="Q572" s="629"/>
      <c r="R572" s="629"/>
      <c r="S572" s="629"/>
      <c r="T572" s="725"/>
      <c r="U572" s="725"/>
      <c r="V572" s="52"/>
    </row>
    <row r="573" spans="1:22" s="141" customFormat="1" ht="16.5" customHeight="1">
      <c r="A573" s="650"/>
      <c r="B573" s="52"/>
      <c r="D573" s="115" t="s">
        <v>781</v>
      </c>
      <c r="E573" s="115" t="s">
        <v>55</v>
      </c>
      <c r="F573" s="52"/>
      <c r="G573" s="52"/>
      <c r="H573" s="52"/>
      <c r="I573" s="52"/>
      <c r="J573" s="52"/>
      <c r="K573" s="52"/>
      <c r="L573" s="38"/>
      <c r="M573" s="38"/>
      <c r="N573" s="38"/>
      <c r="O573" s="38"/>
      <c r="P573" s="38"/>
      <c r="Q573" s="38"/>
      <c r="R573" s="38"/>
      <c r="S573" s="38"/>
      <c r="T573" s="655"/>
      <c r="U573" s="655"/>
      <c r="V573" s="52"/>
    </row>
    <row r="574" spans="1:22" s="141" customFormat="1" ht="74.25" customHeight="1">
      <c r="A574" s="650"/>
      <c r="C574" s="38"/>
      <c r="E574" s="1337" t="str">
        <f>"Realisasi Belanja Modal Gedung dan Bangunan TA "&amp;'2.ISIAN DATA SKPD'!D11&amp;" sebesar Rp. 0, atau mencapai sebesar 0 % dari anggaran sebesar Rp. 0, kurang dari anggaran sebesar Rp. 0 . Bila dibandingkan dengan realisasi TA "&amp;'2.ISIAN DATA SKPD'!D12&amp;" naik sebesar Rp. 0 atau 0 % "</f>
        <v>Realisasi Belanja Modal Gedung dan Bangunan TA 2017 sebesar Rp. 0, atau mencapai sebesar 0 % dari anggaran sebesar Rp. 0, kurang dari anggaran sebesar Rp. 0 . Bila dibandingkan dengan realisasi TA 2016 naik sebesar Rp. 0 atau 0 % </v>
      </c>
      <c r="F574" s="1337"/>
      <c r="G574" s="1337"/>
      <c r="H574" s="1337"/>
      <c r="I574" s="1337"/>
      <c r="J574" s="1337"/>
      <c r="K574" s="1337"/>
      <c r="L574" s="1337"/>
      <c r="M574" s="1337"/>
      <c r="N574" s="1337"/>
      <c r="O574" s="1337"/>
      <c r="P574" s="1337"/>
      <c r="Q574" s="1337"/>
      <c r="R574" s="1337"/>
      <c r="S574" s="1337"/>
      <c r="T574" s="1337"/>
      <c r="U574" s="1337"/>
      <c r="V574" s="52"/>
    </row>
    <row r="575" spans="1:22" s="141" customFormat="1" ht="35.25" customHeight="1">
      <c r="A575" s="650"/>
      <c r="C575" s="730"/>
      <c r="D575" s="730"/>
      <c r="E575" s="1361" t="str">
        <f>"Perbandingan Realisasi Belanja Modal Gedung dan Bangunan                                          TA "&amp;'2.ISIAN DATA SKPD'!D11&amp;" dan "&amp;'2.ISIAN DATA SKPD'!D12&amp;""</f>
        <v>Perbandingan Realisasi Belanja Modal Gedung dan Bangunan                                          TA 2017 dan 2016</v>
      </c>
      <c r="F575" s="1361"/>
      <c r="G575" s="1361"/>
      <c r="H575" s="1361"/>
      <c r="I575" s="1361"/>
      <c r="J575" s="1361"/>
      <c r="K575" s="1361"/>
      <c r="L575" s="1361"/>
      <c r="M575" s="1361"/>
      <c r="N575" s="1361"/>
      <c r="O575" s="1361"/>
      <c r="P575" s="1361"/>
      <c r="Q575" s="1361"/>
      <c r="R575" s="1361"/>
      <c r="S575" s="1361"/>
      <c r="T575" s="1361"/>
      <c r="U575" s="1361"/>
      <c r="V575" s="52"/>
    </row>
    <row r="576" spans="1:32" s="141" customFormat="1" ht="36" customHeight="1">
      <c r="A576" s="1126" t="s">
        <v>90</v>
      </c>
      <c r="B576" s="1127"/>
      <c r="C576" s="1128"/>
      <c r="D576" s="1254" t="s">
        <v>80</v>
      </c>
      <c r="E576" s="1255"/>
      <c r="F576" s="1255"/>
      <c r="G576" s="1255"/>
      <c r="H576" s="1255"/>
      <c r="I576" s="1256"/>
      <c r="J576" s="1254" t="str">
        <f>J478</f>
        <v>Realisasi                      TA 2017</v>
      </c>
      <c r="K576" s="1255"/>
      <c r="L576" s="1255"/>
      <c r="M576" s="1255"/>
      <c r="N576" s="1256"/>
      <c r="O576" s="1254" t="str">
        <f>O478</f>
        <v>Realisasi                   TA 2016</v>
      </c>
      <c r="P576" s="1255"/>
      <c r="Q576" s="1255"/>
      <c r="R576" s="1255"/>
      <c r="S576" s="1256"/>
      <c r="T576" s="1345" t="s">
        <v>1207</v>
      </c>
      <c r="U576" s="1346"/>
      <c r="V576" s="1087" t="s">
        <v>1673</v>
      </c>
      <c r="W576" s="1100"/>
      <c r="X576" s="1100"/>
      <c r="Y576" s="1092" t="s">
        <v>1674</v>
      </c>
      <c r="Z576" s="1046"/>
      <c r="AA576" s="1046"/>
      <c r="AB576" s="1046" t="s">
        <v>1673</v>
      </c>
      <c r="AC576" s="1092" t="s">
        <v>1675</v>
      </c>
      <c r="AD576" s="1046"/>
      <c r="AE576" s="1046"/>
      <c r="AF576" s="1046"/>
    </row>
    <row r="577" spans="1:32" s="141" customFormat="1" ht="29.25" customHeight="1">
      <c r="A577" s="1344" t="s">
        <v>1710</v>
      </c>
      <c r="B577" s="1118" t="s">
        <v>1710</v>
      </c>
      <c r="C577" s="1119" t="s">
        <v>1710</v>
      </c>
      <c r="D577" s="1338">
        <v>0</v>
      </c>
      <c r="E577" s="1339"/>
      <c r="F577" s="1339"/>
      <c r="G577" s="1339"/>
      <c r="H577" s="1339"/>
      <c r="I577" s="1353"/>
      <c r="J577" s="1338">
        <v>0</v>
      </c>
      <c r="K577" s="1339"/>
      <c r="L577" s="1339"/>
      <c r="M577" s="1339"/>
      <c r="N577" s="1339"/>
      <c r="O577" s="1338">
        <v>0</v>
      </c>
      <c r="P577" s="1339"/>
      <c r="Q577" s="1339"/>
      <c r="R577" s="1339"/>
      <c r="S577" s="1339"/>
      <c r="T577" s="1342">
        <v>0</v>
      </c>
      <c r="U577" s="1343"/>
      <c r="V577" s="1041" t="e">
        <f>J577/D577*100</f>
        <v>#DIV/0!</v>
      </c>
      <c r="W577" s="1042"/>
      <c r="X577" s="1042"/>
      <c r="Y577" s="1045">
        <f>E577-J577</f>
        <v>0</v>
      </c>
      <c r="Z577" s="1046"/>
      <c r="AA577" s="1046"/>
      <c r="AB577" s="1046"/>
      <c r="AC577" s="1045">
        <f>J577-O577</f>
        <v>0</v>
      </c>
      <c r="AD577" s="1046"/>
      <c r="AE577" s="1046"/>
      <c r="AF577" s="1046"/>
    </row>
    <row r="578" spans="1:32" s="141" customFormat="1" ht="20.25" customHeight="1">
      <c r="A578" s="1344" t="s">
        <v>1711</v>
      </c>
      <c r="B578" s="1118" t="s">
        <v>1711</v>
      </c>
      <c r="C578" s="1119" t="s">
        <v>1711</v>
      </c>
      <c r="D578" s="1338">
        <v>0</v>
      </c>
      <c r="E578" s="1339"/>
      <c r="F578" s="1339"/>
      <c r="G578" s="1339"/>
      <c r="H578" s="1339"/>
      <c r="I578" s="1353"/>
      <c r="J578" s="1338">
        <v>0</v>
      </c>
      <c r="K578" s="1339"/>
      <c r="L578" s="1339"/>
      <c r="M578" s="1339"/>
      <c r="N578" s="1339"/>
      <c r="O578" s="1338">
        <v>0</v>
      </c>
      <c r="P578" s="1339"/>
      <c r="Q578" s="1339"/>
      <c r="R578" s="1339"/>
      <c r="S578" s="1339"/>
      <c r="T578" s="1342">
        <v>0</v>
      </c>
      <c r="U578" s="1343"/>
      <c r="V578" s="1041" t="e">
        <f>J578/D578*100</f>
        <v>#DIV/0!</v>
      </c>
      <c r="W578" s="1042"/>
      <c r="X578" s="1042"/>
      <c r="Y578" s="1045">
        <f>E578-J578</f>
        <v>0</v>
      </c>
      <c r="Z578" s="1046"/>
      <c r="AA578" s="1046"/>
      <c r="AB578" s="1046"/>
      <c r="AC578" s="1045">
        <f>J578-O578</f>
        <v>0</v>
      </c>
      <c r="AD578" s="1046"/>
      <c r="AE578" s="1046"/>
      <c r="AF578" s="1046"/>
    </row>
    <row r="579" spans="1:32" s="141" customFormat="1" ht="33" customHeight="1">
      <c r="A579" s="1344" t="s">
        <v>1712</v>
      </c>
      <c r="B579" s="1118" t="s">
        <v>1712</v>
      </c>
      <c r="C579" s="1119" t="s">
        <v>1712</v>
      </c>
      <c r="D579" s="1338">
        <v>0</v>
      </c>
      <c r="E579" s="1339"/>
      <c r="F579" s="1339"/>
      <c r="G579" s="1339"/>
      <c r="H579" s="1339"/>
      <c r="I579" s="1353"/>
      <c r="J579" s="1338">
        <v>0</v>
      </c>
      <c r="K579" s="1339"/>
      <c r="L579" s="1339"/>
      <c r="M579" s="1339"/>
      <c r="N579" s="1339"/>
      <c r="O579" s="1338">
        <v>0</v>
      </c>
      <c r="P579" s="1339"/>
      <c r="Q579" s="1339"/>
      <c r="R579" s="1339"/>
      <c r="S579" s="1339"/>
      <c r="T579" s="1342">
        <v>0</v>
      </c>
      <c r="U579" s="1343"/>
      <c r="V579" s="1041" t="e">
        <f>J579/D579*100</f>
        <v>#DIV/0!</v>
      </c>
      <c r="W579" s="1042"/>
      <c r="X579" s="1042"/>
      <c r="Y579" s="1045">
        <f>E579-J579</f>
        <v>0</v>
      </c>
      <c r="Z579" s="1046"/>
      <c r="AA579" s="1046"/>
      <c r="AB579" s="1046"/>
      <c r="AC579" s="1045">
        <f>J579-O579</f>
        <v>0</v>
      </c>
      <c r="AD579" s="1046"/>
      <c r="AE579" s="1046"/>
      <c r="AF579" s="1046"/>
    </row>
    <row r="580" spans="1:32" s="141" customFormat="1" ht="29.25" customHeight="1">
      <c r="A580" s="1344" t="s">
        <v>1713</v>
      </c>
      <c r="B580" s="1118" t="s">
        <v>1713</v>
      </c>
      <c r="C580" s="1119" t="s">
        <v>1713</v>
      </c>
      <c r="D580" s="1338">
        <v>0</v>
      </c>
      <c r="E580" s="1339"/>
      <c r="F580" s="1339"/>
      <c r="G580" s="1339"/>
      <c r="H580" s="1339"/>
      <c r="I580" s="1353"/>
      <c r="J580" s="1338">
        <v>0</v>
      </c>
      <c r="K580" s="1339"/>
      <c r="L580" s="1339"/>
      <c r="M580" s="1339"/>
      <c r="N580" s="1339"/>
      <c r="O580" s="1338">
        <v>0</v>
      </c>
      <c r="P580" s="1339"/>
      <c r="Q580" s="1339"/>
      <c r="R580" s="1339"/>
      <c r="S580" s="1339"/>
      <c r="T580" s="1342">
        <v>0</v>
      </c>
      <c r="U580" s="1343"/>
      <c r="V580" s="1041" t="e">
        <f>J580/D580*100</f>
        <v>#DIV/0!</v>
      </c>
      <c r="W580" s="1042"/>
      <c r="X580" s="1042"/>
      <c r="Y580" s="1045">
        <f>E580-J580</f>
        <v>0</v>
      </c>
      <c r="Z580" s="1046"/>
      <c r="AA580" s="1046"/>
      <c r="AB580" s="1046"/>
      <c r="AC580" s="1045">
        <f>J580-O580</f>
        <v>0</v>
      </c>
      <c r="AD580" s="1046"/>
      <c r="AE580" s="1046"/>
      <c r="AF580" s="1046"/>
    </row>
    <row r="581" spans="1:32" s="141" customFormat="1" ht="22.5" customHeight="1">
      <c r="A581" s="1558" t="s">
        <v>10</v>
      </c>
      <c r="B581" s="1595"/>
      <c r="C581" s="1596"/>
      <c r="D581" s="1206">
        <f>SUM(D577:I580)</f>
        <v>0</v>
      </c>
      <c r="E581" s="1207"/>
      <c r="F581" s="1207"/>
      <c r="G581" s="1207"/>
      <c r="H581" s="1207"/>
      <c r="I581" s="1208"/>
      <c r="J581" s="1206">
        <f>SUM(J577:N580)</f>
        <v>0</v>
      </c>
      <c r="K581" s="1207"/>
      <c r="L581" s="1207"/>
      <c r="M581" s="1207"/>
      <c r="N581" s="1207"/>
      <c r="O581" s="1206">
        <f>SUM(O577:S580)</f>
        <v>0</v>
      </c>
      <c r="P581" s="1207"/>
      <c r="Q581" s="1207"/>
      <c r="R581" s="1207"/>
      <c r="S581" s="1207"/>
      <c r="T581" s="1363">
        <v>0</v>
      </c>
      <c r="U581" s="1364"/>
      <c r="V581" s="1041" t="e">
        <f>J581/D581*100</f>
        <v>#DIV/0!</v>
      </c>
      <c r="W581" s="1042"/>
      <c r="X581" s="1042"/>
      <c r="Y581" s="1045">
        <f>E581-J581</f>
        <v>0</v>
      </c>
      <c r="Z581" s="1046"/>
      <c r="AA581" s="1046"/>
      <c r="AB581" s="1046"/>
      <c r="AC581" s="1045">
        <f>J581-O581</f>
        <v>0</v>
      </c>
      <c r="AD581" s="1046"/>
      <c r="AE581" s="1046"/>
      <c r="AF581" s="1046"/>
    </row>
    <row r="582" spans="1:22" s="141" customFormat="1" ht="12" customHeight="1">
      <c r="A582" s="650"/>
      <c r="B582" s="61"/>
      <c r="C582" s="61"/>
      <c r="D582" s="61"/>
      <c r="E582" s="61"/>
      <c r="F582" s="61"/>
      <c r="G582" s="61"/>
      <c r="H582" s="61"/>
      <c r="I582" s="61"/>
      <c r="J582" s="5"/>
      <c r="K582" s="5"/>
      <c r="L582" s="5"/>
      <c r="M582" s="5"/>
      <c r="N582" s="5"/>
      <c r="O582" s="5"/>
      <c r="P582" s="5"/>
      <c r="Q582" s="5"/>
      <c r="R582" s="5"/>
      <c r="S582" s="5"/>
      <c r="T582" s="731"/>
      <c r="U582" s="731"/>
      <c r="V582" s="52"/>
    </row>
    <row r="583" spans="1:22" s="141" customFormat="1" ht="22.5" customHeight="1">
      <c r="A583" s="650"/>
      <c r="B583" s="52"/>
      <c r="D583" s="115" t="s">
        <v>788</v>
      </c>
      <c r="E583" s="115" t="s">
        <v>197</v>
      </c>
      <c r="F583" s="115"/>
      <c r="G583" s="115"/>
      <c r="H583" s="115"/>
      <c r="I583" s="115"/>
      <c r="J583" s="115"/>
      <c r="K583" s="115"/>
      <c r="L583" s="732"/>
      <c r="M583" s="732"/>
      <c r="N583" s="732"/>
      <c r="O583" s="732"/>
      <c r="P583" s="732"/>
      <c r="Q583" s="38"/>
      <c r="R583" s="38"/>
      <c r="S583" s="38"/>
      <c r="T583" s="655"/>
      <c r="U583" s="655"/>
      <c r="V583" s="52"/>
    </row>
    <row r="584" spans="1:22" s="141" customFormat="1" ht="108" customHeight="1">
      <c r="A584" s="650"/>
      <c r="C584" s="38"/>
      <c r="E584" s="1337" t="str">
        <f>"Realisasi Belanja Modal Jalan Irigasi dan Jaringan TA "&amp;'2.ISIAN DATA SKPD'!D11&amp;" adalah sebesar Rp. "&amp;FIXED(J590)&amp;", atau sebesar "&amp;FIXED(V590)&amp;"% dari anggaran sebesar Rp. "&amp;FIXED(E590)&amp;", atau kurang dari anggaran sebesar Rp. "&amp;FIXED(Y590)&amp;". Realisasi belanja modal jalan irigasi dan jaringan tersebut mengalami kenaikan/penurunan sebesar  "&amp;FIXED(T590)&amp;"% bila dibandingkan dengan realisasi TA "&amp;'2.ISIAN DATA SKPD'!D12&amp;" atau sebesar Rp. "&amp;FIXED(AC590)&amp;"."</f>
        <v>Realisasi Belanja Modal Jalan Irigasi dan Jaringan TA 2017 adalah sebesar Rp. 145,593,000.00, atau sebesar 99.55% dari anggaran sebesar Rp. 146,250,000.00, atau kurang dari anggaran sebesar Rp. 657,000.00. Realisasi belanja modal jalan irigasi dan jaringan tersebut mengalami kenaikan/penurunan sebesar  -34.39% bila dibandingkan dengan realisasi TA 2016 atau sebesar Rp. -50,074,000.00.</v>
      </c>
      <c r="F584" s="1337"/>
      <c r="G584" s="1337"/>
      <c r="H584" s="1337"/>
      <c r="I584" s="1337"/>
      <c r="J584" s="1337"/>
      <c r="K584" s="1337"/>
      <c r="L584" s="1337"/>
      <c r="M584" s="1337"/>
      <c r="N584" s="1337"/>
      <c r="O584" s="1337"/>
      <c r="P584" s="1337"/>
      <c r="Q584" s="1337"/>
      <c r="R584" s="1337"/>
      <c r="S584" s="1337"/>
      <c r="T584" s="1337"/>
      <c r="U584" s="1337"/>
      <c r="V584" s="52"/>
    </row>
    <row r="585" spans="1:22" s="141" customFormat="1" ht="33.75" customHeight="1">
      <c r="A585" s="650"/>
      <c r="B585" s="1436" t="str">
        <f>"Perbandingan Realisasi Belanja Modal Jalan, Irigasi dan Jaringan                           TA "&amp;'2.ISIAN DATA SKPD'!D11&amp;" dan "&amp;'2.ISIAN DATA SKPD'!D12&amp;""</f>
        <v>Perbandingan Realisasi Belanja Modal Jalan, Irigasi dan Jaringan                           TA 2017 dan 2016</v>
      </c>
      <c r="C585" s="1436"/>
      <c r="D585" s="1436"/>
      <c r="E585" s="1436"/>
      <c r="F585" s="1436"/>
      <c r="G585" s="1436"/>
      <c r="H585" s="1436"/>
      <c r="I585" s="1436"/>
      <c r="J585" s="1436"/>
      <c r="K585" s="1436"/>
      <c r="L585" s="1436"/>
      <c r="M585" s="1436"/>
      <c r="N585" s="1436"/>
      <c r="O585" s="1436"/>
      <c r="P585" s="1436"/>
      <c r="Q585" s="1436"/>
      <c r="R585" s="1436"/>
      <c r="S585" s="1436"/>
      <c r="T585" s="1436"/>
      <c r="U585" s="1436"/>
      <c r="V585" s="52"/>
    </row>
    <row r="586" spans="1:32" s="141" customFormat="1" ht="31.5" customHeight="1">
      <c r="A586" s="1244" t="s">
        <v>1535</v>
      </c>
      <c r="B586" s="1244"/>
      <c r="C586" s="1244"/>
      <c r="D586" s="1244"/>
      <c r="E586" s="1324" t="s">
        <v>80</v>
      </c>
      <c r="F586" s="1324"/>
      <c r="G586" s="1324"/>
      <c r="H586" s="1324"/>
      <c r="I586" s="1324"/>
      <c r="J586" s="1245" t="str">
        <f>J576</f>
        <v>Realisasi                      TA 2017</v>
      </c>
      <c r="K586" s="1246"/>
      <c r="L586" s="1246"/>
      <c r="M586" s="1246"/>
      <c r="N586" s="1247"/>
      <c r="O586" s="1245" t="str">
        <f>O576</f>
        <v>Realisasi                   TA 2016</v>
      </c>
      <c r="P586" s="1246"/>
      <c r="Q586" s="1246"/>
      <c r="R586" s="1246"/>
      <c r="S586" s="1247"/>
      <c r="T586" s="1345" t="s">
        <v>1207</v>
      </c>
      <c r="U586" s="1346"/>
      <c r="V586" s="1087" t="s">
        <v>1673</v>
      </c>
      <c r="W586" s="1100"/>
      <c r="X586" s="1100"/>
      <c r="Y586" s="1092" t="s">
        <v>1674</v>
      </c>
      <c r="Z586" s="1046"/>
      <c r="AA586" s="1046"/>
      <c r="AB586" s="1046" t="s">
        <v>1673</v>
      </c>
      <c r="AC586" s="1092" t="s">
        <v>1675</v>
      </c>
      <c r="AD586" s="1046"/>
      <c r="AE586" s="1046"/>
      <c r="AF586" s="1046"/>
    </row>
    <row r="587" spans="1:32" s="141" customFormat="1" ht="22.5" customHeight="1">
      <c r="A587" s="1356" t="str">
        <f>'3.LRA'!C88</f>
        <v>Jalan</v>
      </c>
      <c r="B587" s="1356"/>
      <c r="C587" s="1356"/>
      <c r="D587" s="1356"/>
      <c r="E587" s="1357">
        <v>0</v>
      </c>
      <c r="F587" s="1358"/>
      <c r="G587" s="1358"/>
      <c r="H587" s="1358"/>
      <c r="I587" s="1358"/>
      <c r="J587" s="1357">
        <v>0</v>
      </c>
      <c r="K587" s="1358"/>
      <c r="L587" s="1358"/>
      <c r="M587" s="1358"/>
      <c r="N587" s="1358"/>
      <c r="O587" s="1357">
        <v>0</v>
      </c>
      <c r="P587" s="1358"/>
      <c r="Q587" s="1358"/>
      <c r="R587" s="1358"/>
      <c r="S587" s="1358"/>
      <c r="T587" s="1405">
        <v>0</v>
      </c>
      <c r="U587" s="1406"/>
      <c r="V587" s="1041" t="e">
        <f>J587/E587*100</f>
        <v>#DIV/0!</v>
      </c>
      <c r="W587" s="1042"/>
      <c r="X587" s="1042"/>
      <c r="Y587" s="1045">
        <f>E587-J587</f>
        <v>0</v>
      </c>
      <c r="Z587" s="1046"/>
      <c r="AA587" s="1046"/>
      <c r="AB587" s="1046"/>
      <c r="AC587" s="1045">
        <f>J587-O587</f>
        <v>0</v>
      </c>
      <c r="AD587" s="1046"/>
      <c r="AE587" s="1046"/>
      <c r="AF587" s="1046"/>
    </row>
    <row r="588" spans="1:32" s="141" customFormat="1" ht="19.5" customHeight="1">
      <c r="A588" s="1356" t="str">
        <f>'3.LRA'!C89</f>
        <v>Irigasi</v>
      </c>
      <c r="B588" s="1356"/>
      <c r="C588" s="1356"/>
      <c r="D588" s="1356"/>
      <c r="E588" s="1357">
        <f>'3.LRA'!D89</f>
        <v>146250000</v>
      </c>
      <c r="F588" s="1358"/>
      <c r="G588" s="1358"/>
      <c r="H588" s="1358"/>
      <c r="I588" s="1358"/>
      <c r="J588" s="1357">
        <f>'3.LRA'!E89</f>
        <v>145593000</v>
      </c>
      <c r="K588" s="1358"/>
      <c r="L588" s="1358"/>
      <c r="M588" s="1358"/>
      <c r="N588" s="1358"/>
      <c r="O588" s="1357">
        <f>'3.LRA'!I89</f>
        <v>195667000</v>
      </c>
      <c r="P588" s="1358"/>
      <c r="Q588" s="1358"/>
      <c r="R588" s="1358"/>
      <c r="S588" s="1358"/>
      <c r="T588" s="1041">
        <f>SUM((J588-O588)/J588)*100</f>
        <v>-34.39313703268701</v>
      </c>
      <c r="U588" s="1402"/>
      <c r="V588" s="1041">
        <f>J588/E588*100</f>
        <v>99.55076923076923</v>
      </c>
      <c r="W588" s="1042"/>
      <c r="X588" s="1042"/>
      <c r="Y588" s="1045">
        <f>E588-J588</f>
        <v>657000</v>
      </c>
      <c r="Z588" s="1046"/>
      <c r="AA588" s="1046"/>
      <c r="AB588" s="1046"/>
      <c r="AC588" s="1045">
        <f>J588-O588</f>
        <v>-50074000</v>
      </c>
      <c r="AD588" s="1046"/>
      <c r="AE588" s="1046"/>
      <c r="AF588" s="1046"/>
    </row>
    <row r="589" spans="1:32" s="141" customFormat="1" ht="12.75" customHeight="1">
      <c r="A589" s="1356" t="str">
        <f>'3.LRA'!C90</f>
        <v>Jembatan</v>
      </c>
      <c r="B589" s="1356"/>
      <c r="C589" s="1356"/>
      <c r="D589" s="1356"/>
      <c r="E589" s="1357">
        <f>'3.LRA'!D90</f>
        <v>0</v>
      </c>
      <c r="F589" s="1358"/>
      <c r="G589" s="1358"/>
      <c r="H589" s="1358"/>
      <c r="I589" s="1358"/>
      <c r="J589" s="1357">
        <f>'3.LRA'!E90</f>
        <v>0</v>
      </c>
      <c r="K589" s="1358"/>
      <c r="L589" s="1358"/>
      <c r="M589" s="1358"/>
      <c r="N589" s="1358"/>
      <c r="O589" s="1357">
        <f>'3.LRA'!I90</f>
        <v>0</v>
      </c>
      <c r="P589" s="1358"/>
      <c r="Q589" s="1358"/>
      <c r="R589" s="1358"/>
      <c r="S589" s="1358"/>
      <c r="T589" s="1041">
        <v>0</v>
      </c>
      <c r="U589" s="1402"/>
      <c r="V589" s="1041" t="e">
        <f>J589/E589*100</f>
        <v>#DIV/0!</v>
      </c>
      <c r="W589" s="1042"/>
      <c r="X589" s="1042"/>
      <c r="Y589" s="1045">
        <f>E589-J589</f>
        <v>0</v>
      </c>
      <c r="Z589" s="1046"/>
      <c r="AA589" s="1046"/>
      <c r="AB589" s="1046"/>
      <c r="AC589" s="1045">
        <f>J589-O589</f>
        <v>0</v>
      </c>
      <c r="AD589" s="1046"/>
      <c r="AE589" s="1046"/>
      <c r="AF589" s="1046"/>
    </row>
    <row r="590" spans="1:32" s="141" customFormat="1" ht="17.25" customHeight="1">
      <c r="A590" s="1245" t="s">
        <v>10</v>
      </c>
      <c r="B590" s="1246"/>
      <c r="C590" s="1246"/>
      <c r="D590" s="1247"/>
      <c r="E590" s="1206">
        <f>SUM(E587:I589)</f>
        <v>146250000</v>
      </c>
      <c r="F590" s="1207"/>
      <c r="G590" s="1207"/>
      <c r="H590" s="1207"/>
      <c r="I590" s="1207"/>
      <c r="J590" s="1206">
        <f>SUM(J587:N589)</f>
        <v>145593000</v>
      </c>
      <c r="K590" s="1207"/>
      <c r="L590" s="1207"/>
      <c r="M590" s="1207"/>
      <c r="N590" s="1207"/>
      <c r="O590" s="1206">
        <f>SUM(O587:S589)</f>
        <v>195667000</v>
      </c>
      <c r="P590" s="1207"/>
      <c r="Q590" s="1207"/>
      <c r="R590" s="1207"/>
      <c r="S590" s="1207"/>
      <c r="T590" s="1556">
        <f>SUM((J590-O590)/J590)*100</f>
        <v>-34.39313703268701</v>
      </c>
      <c r="U590" s="1557"/>
      <c r="V590" s="1041">
        <f>J590/E590*100</f>
        <v>99.55076923076923</v>
      </c>
      <c r="W590" s="1042"/>
      <c r="X590" s="1042"/>
      <c r="Y590" s="1045">
        <f>E590-J590</f>
        <v>657000</v>
      </c>
      <c r="Z590" s="1046"/>
      <c r="AA590" s="1046"/>
      <c r="AB590" s="1046"/>
      <c r="AC590" s="1045">
        <f>J590-O590</f>
        <v>-50074000</v>
      </c>
      <c r="AD590" s="1046"/>
      <c r="AE590" s="1046"/>
      <c r="AF590" s="1046"/>
    </row>
    <row r="591" spans="1:32" s="141" customFormat="1" ht="12.75" customHeight="1">
      <c r="A591" s="650"/>
      <c r="B591" s="72"/>
      <c r="C591" s="72"/>
      <c r="D591" s="72"/>
      <c r="E591" s="72"/>
      <c r="F591" s="72"/>
      <c r="G591" s="72"/>
      <c r="H591" s="72"/>
      <c r="I591" s="72"/>
      <c r="J591" s="73"/>
      <c r="K591" s="73"/>
      <c r="L591" s="73"/>
      <c r="M591" s="73"/>
      <c r="N591" s="73"/>
      <c r="O591" s="73"/>
      <c r="P591" s="73"/>
      <c r="Q591" s="73"/>
      <c r="R591" s="73"/>
      <c r="S591" s="73"/>
      <c r="T591" s="733"/>
      <c r="U591" s="733"/>
      <c r="V591" s="1081"/>
      <c r="W591" s="1081"/>
      <c r="X591" s="1081"/>
      <c r="Y591" s="1082"/>
      <c r="Z591" s="1083"/>
      <c r="AA591" s="1083"/>
      <c r="AB591" s="1083"/>
      <c r="AC591" s="1082"/>
      <c r="AD591" s="1083"/>
      <c r="AE591" s="1083"/>
      <c r="AF591" s="1083"/>
    </row>
    <row r="592" spans="1:22" s="141" customFormat="1" ht="18.75" customHeight="1">
      <c r="A592" s="650"/>
      <c r="B592" s="52"/>
      <c r="D592" s="115" t="s">
        <v>789</v>
      </c>
      <c r="E592" s="115" t="s">
        <v>288</v>
      </c>
      <c r="F592" s="115"/>
      <c r="G592" s="115"/>
      <c r="H592" s="115"/>
      <c r="I592" s="115"/>
      <c r="J592" s="115"/>
      <c r="K592" s="115"/>
      <c r="L592" s="732"/>
      <c r="M592" s="732"/>
      <c r="N592" s="38"/>
      <c r="O592" s="38"/>
      <c r="P592" s="38"/>
      <c r="Q592" s="38"/>
      <c r="R592" s="38"/>
      <c r="S592" s="38"/>
      <c r="T592" s="655"/>
      <c r="U592" s="655"/>
      <c r="V592" s="52"/>
    </row>
    <row r="593" spans="1:22" s="141" customFormat="1" ht="64.5" customHeight="1">
      <c r="A593" s="650"/>
      <c r="C593" s="38"/>
      <c r="E593" s="1337" t="str">
        <f>"Realisasi Belanja Modal Aset Tetap Lainnya TA "&amp;'2.ISIAN DATA SKPD'!D11&amp;" sebesar Rp. 0 , atau mencapai sebesar 0 % dari anggaran sebesar Rp. 0 , atau kurang dari anggaran sebesar Rp. 0 . Bila dibandingkan dengan realisasi TA "&amp;'2.ISIAN DATA SKPD'!D12&amp;" naik sebesar Rp. 0  atau 0 %."</f>
        <v>Realisasi Belanja Modal Aset Tetap Lainnya TA 2017 sebesar Rp. 0 , atau mencapai sebesar 0 % dari anggaran sebesar Rp. 0 , atau kurang dari anggaran sebesar Rp. 0 . Bila dibandingkan dengan realisasi TA 2016 naik sebesar Rp. 0  atau 0 %.</v>
      </c>
      <c r="F593" s="1337"/>
      <c r="G593" s="1337"/>
      <c r="H593" s="1337"/>
      <c r="I593" s="1337"/>
      <c r="J593" s="1337"/>
      <c r="K593" s="1337"/>
      <c r="L593" s="1337"/>
      <c r="M593" s="1337"/>
      <c r="N593" s="1337"/>
      <c r="O593" s="1337"/>
      <c r="P593" s="1337"/>
      <c r="Q593" s="1337"/>
      <c r="R593" s="1337"/>
      <c r="S593" s="1337"/>
      <c r="T593" s="1337"/>
      <c r="U593" s="1337"/>
      <c r="V593" s="52"/>
    </row>
    <row r="594" spans="1:22" s="141" customFormat="1" ht="64.5" customHeight="1">
      <c r="A594" s="650"/>
      <c r="C594" s="38"/>
      <c r="E594" s="724"/>
      <c r="F594" s="724"/>
      <c r="G594" s="724"/>
      <c r="H594" s="724"/>
      <c r="I594" s="724"/>
      <c r="J594" s="724"/>
      <c r="K594" s="724"/>
      <c r="L594" s="724"/>
      <c r="M594" s="724"/>
      <c r="N594" s="724"/>
      <c r="O594" s="724"/>
      <c r="P594" s="724"/>
      <c r="Q594" s="724"/>
      <c r="R594" s="724"/>
      <c r="S594" s="724"/>
      <c r="T594" s="724"/>
      <c r="U594" s="724"/>
      <c r="V594" s="52"/>
    </row>
    <row r="595" spans="1:22" s="141" customFormat="1" ht="40.5" customHeight="1">
      <c r="A595" s="650"/>
      <c r="B595" s="1436" t="str">
        <f>"Perbandingan Realisasi Belanja Modal Aset Tetap Lainnya                                           TA "&amp;'2.ISIAN DATA SKPD'!D11&amp;" dan "&amp;'2.ISIAN DATA SKPD'!D12&amp;""</f>
        <v>Perbandingan Realisasi Belanja Modal Aset Tetap Lainnya                                           TA 2017 dan 2016</v>
      </c>
      <c r="C595" s="1436"/>
      <c r="D595" s="1436"/>
      <c r="E595" s="1436"/>
      <c r="F595" s="1436"/>
      <c r="G595" s="1436"/>
      <c r="H595" s="1436"/>
      <c r="I595" s="1436"/>
      <c r="J595" s="1436"/>
      <c r="K595" s="1436"/>
      <c r="L595" s="1436"/>
      <c r="M595" s="1436"/>
      <c r="N595" s="1436"/>
      <c r="O595" s="1436"/>
      <c r="P595" s="1436"/>
      <c r="Q595" s="1436"/>
      <c r="R595" s="1436"/>
      <c r="S595" s="1436"/>
      <c r="T595" s="1436"/>
      <c r="U595" s="1436"/>
      <c r="V595" s="52"/>
    </row>
    <row r="596" spans="1:32" s="141" customFormat="1" ht="37.5" customHeight="1">
      <c r="A596" s="1244" t="s">
        <v>91</v>
      </c>
      <c r="B596" s="1244"/>
      <c r="C596" s="1244"/>
      <c r="D596" s="1244"/>
      <c r="E596" s="1128" t="s">
        <v>80</v>
      </c>
      <c r="F596" s="1324"/>
      <c r="G596" s="1324"/>
      <c r="H596" s="1324"/>
      <c r="I596" s="1324"/>
      <c r="J596" s="1245" t="str">
        <f>J586</f>
        <v>Realisasi                      TA 2017</v>
      </c>
      <c r="K596" s="1246"/>
      <c r="L596" s="1246"/>
      <c r="M596" s="1246"/>
      <c r="N596" s="1247"/>
      <c r="O596" s="1245" t="str">
        <f>O586</f>
        <v>Realisasi                   TA 2016</v>
      </c>
      <c r="P596" s="1246"/>
      <c r="Q596" s="1246"/>
      <c r="R596" s="1246"/>
      <c r="S596" s="1247"/>
      <c r="T596" s="1345" t="s">
        <v>1207</v>
      </c>
      <c r="U596" s="1346"/>
      <c r="V596" s="1087" t="s">
        <v>1673</v>
      </c>
      <c r="W596" s="1100"/>
      <c r="X596" s="1100"/>
      <c r="Y596" s="1092" t="s">
        <v>1674</v>
      </c>
      <c r="Z596" s="1046"/>
      <c r="AA596" s="1046"/>
      <c r="AB596" s="1046" t="s">
        <v>1673</v>
      </c>
      <c r="AC596" s="1092" t="s">
        <v>1675</v>
      </c>
      <c r="AD596" s="1046"/>
      <c r="AE596" s="1046"/>
      <c r="AF596" s="1046"/>
    </row>
    <row r="597" spans="1:32" s="141" customFormat="1" ht="18.75" customHeight="1">
      <c r="A597" s="1340" t="str">
        <f>'3.LRA'!C92</f>
        <v>- Pengadaan buku</v>
      </c>
      <c r="B597" s="1340"/>
      <c r="C597" s="1340"/>
      <c r="D597" s="1340"/>
      <c r="E597" s="1338">
        <v>0</v>
      </c>
      <c r="F597" s="1339"/>
      <c r="G597" s="1339"/>
      <c r="H597" s="1339"/>
      <c r="I597" s="1339"/>
      <c r="J597" s="1338">
        <v>0</v>
      </c>
      <c r="K597" s="1339"/>
      <c r="L597" s="1339"/>
      <c r="M597" s="1339"/>
      <c r="N597" s="1339"/>
      <c r="O597" s="1338">
        <v>0</v>
      </c>
      <c r="P597" s="1339"/>
      <c r="Q597" s="1339"/>
      <c r="R597" s="1339"/>
      <c r="S597" s="1339"/>
      <c r="T597" s="1342">
        <v>0</v>
      </c>
      <c r="U597" s="1343"/>
      <c r="V597" s="1041" t="e">
        <f>J597/E597*100</f>
        <v>#DIV/0!</v>
      </c>
      <c r="W597" s="1042"/>
      <c r="X597" s="1042"/>
      <c r="Y597" s="1045">
        <f>E597-J597</f>
        <v>0</v>
      </c>
      <c r="Z597" s="1046"/>
      <c r="AA597" s="1046"/>
      <c r="AB597" s="1046"/>
      <c r="AC597" s="1045">
        <f>J597-O597</f>
        <v>0</v>
      </c>
      <c r="AD597" s="1046"/>
      <c r="AE597" s="1046"/>
      <c r="AF597" s="1046"/>
    </row>
    <row r="598" spans="1:32" s="141" customFormat="1" ht="18.75" customHeight="1">
      <c r="A598" s="1340" t="str">
        <f>'3.LRA'!C93</f>
        <v>- Pengadaan Tanaman</v>
      </c>
      <c r="B598" s="1340"/>
      <c r="C598" s="1340"/>
      <c r="D598" s="1340"/>
      <c r="E598" s="1338">
        <f>'3.LRA'!D93</f>
        <v>0</v>
      </c>
      <c r="F598" s="1339"/>
      <c r="G598" s="1339"/>
      <c r="H598" s="1339"/>
      <c r="I598" s="1339"/>
      <c r="J598" s="1338">
        <f>'3.LRA'!E93</f>
        <v>0</v>
      </c>
      <c r="K598" s="1339"/>
      <c r="L598" s="1339"/>
      <c r="M598" s="1339"/>
      <c r="N598" s="1339"/>
      <c r="O598" s="1338">
        <f>'3.LRA'!I93</f>
        <v>0</v>
      </c>
      <c r="P598" s="1339"/>
      <c r="Q598" s="1339"/>
      <c r="R598" s="1339"/>
      <c r="S598" s="1339"/>
      <c r="T598" s="1342">
        <v>0</v>
      </c>
      <c r="U598" s="1343"/>
      <c r="V598" s="1041" t="e">
        <f>J598/E598*100</f>
        <v>#DIV/0!</v>
      </c>
      <c r="W598" s="1042"/>
      <c r="X598" s="1042"/>
      <c r="Y598" s="1045">
        <f>E598-J598</f>
        <v>0</v>
      </c>
      <c r="Z598" s="1046"/>
      <c r="AA598" s="1046"/>
      <c r="AB598" s="1046"/>
      <c r="AC598" s="1045">
        <f>J598-O598</f>
        <v>0</v>
      </c>
      <c r="AD598" s="1046"/>
      <c r="AE598" s="1046"/>
      <c r="AF598" s="1046"/>
    </row>
    <row r="599" spans="1:32" s="141" customFormat="1" ht="18.75" customHeight="1">
      <c r="A599" s="1340" t="str">
        <f>'3.LRA'!C94</f>
        <v>- Pengadaan AT Renovasi</v>
      </c>
      <c r="B599" s="1340"/>
      <c r="C599" s="1340"/>
      <c r="D599" s="1340"/>
      <c r="E599" s="1338">
        <f>'3.LRA'!D94</f>
        <v>0</v>
      </c>
      <c r="F599" s="1339"/>
      <c r="G599" s="1339"/>
      <c r="H599" s="1339"/>
      <c r="I599" s="1339"/>
      <c r="J599" s="1338">
        <f>'3.LRA'!E94</f>
        <v>0</v>
      </c>
      <c r="K599" s="1339"/>
      <c r="L599" s="1339"/>
      <c r="M599" s="1339"/>
      <c r="N599" s="1339"/>
      <c r="O599" s="1338">
        <f>'3.LRA'!I94</f>
        <v>0</v>
      </c>
      <c r="P599" s="1339"/>
      <c r="Q599" s="1339"/>
      <c r="R599" s="1339"/>
      <c r="S599" s="1339"/>
      <c r="T599" s="1342">
        <v>0</v>
      </c>
      <c r="U599" s="1343"/>
      <c r="V599" s="1041" t="e">
        <f>J599/E599*100</f>
        <v>#DIV/0!</v>
      </c>
      <c r="W599" s="1042"/>
      <c r="X599" s="1042"/>
      <c r="Y599" s="1045">
        <f>E599-J599</f>
        <v>0</v>
      </c>
      <c r="Z599" s="1046"/>
      <c r="AA599" s="1046"/>
      <c r="AB599" s="1046"/>
      <c r="AC599" s="1045">
        <f>J599-O599</f>
        <v>0</v>
      </c>
      <c r="AD599" s="1046"/>
      <c r="AE599" s="1046"/>
      <c r="AF599" s="1046"/>
    </row>
    <row r="600" spans="1:32" s="141" customFormat="1" ht="22.5" customHeight="1">
      <c r="A600" s="1245" t="s">
        <v>10</v>
      </c>
      <c r="B600" s="1246"/>
      <c r="C600" s="1246"/>
      <c r="D600" s="1247"/>
      <c r="E600" s="1206">
        <f>SUM(E597:I599)</f>
        <v>0</v>
      </c>
      <c r="F600" s="1207"/>
      <c r="G600" s="1207"/>
      <c r="H600" s="1207"/>
      <c r="I600" s="1207"/>
      <c r="J600" s="1206">
        <f>SUM(J597:N599)</f>
        <v>0</v>
      </c>
      <c r="K600" s="1207"/>
      <c r="L600" s="1207"/>
      <c r="M600" s="1207"/>
      <c r="N600" s="1207"/>
      <c r="O600" s="1206">
        <f>SUM(O597:S599)</f>
        <v>0</v>
      </c>
      <c r="P600" s="1207"/>
      <c r="Q600" s="1207"/>
      <c r="R600" s="1207"/>
      <c r="S600" s="1207"/>
      <c r="T600" s="1363">
        <v>0</v>
      </c>
      <c r="U600" s="1364"/>
      <c r="V600" s="1041" t="e">
        <f>J600/E600*100</f>
        <v>#DIV/0!</v>
      </c>
      <c r="W600" s="1042"/>
      <c r="X600" s="1042"/>
      <c r="Y600" s="1045">
        <f>E600-J600</f>
        <v>0</v>
      </c>
      <c r="Z600" s="1046"/>
      <c r="AA600" s="1046"/>
      <c r="AB600" s="1046"/>
      <c r="AC600" s="1045">
        <f>J600-O600</f>
        <v>0</v>
      </c>
      <c r="AD600" s="1046"/>
      <c r="AE600" s="1046"/>
      <c r="AF600" s="1046"/>
    </row>
    <row r="601" spans="1:22" s="141" customFormat="1" ht="18" customHeight="1">
      <c r="A601" s="650"/>
      <c r="B601" s="654"/>
      <c r="C601" s="654"/>
      <c r="D601" s="654"/>
      <c r="E601" s="654"/>
      <c r="F601" s="654"/>
      <c r="G601" s="654"/>
      <c r="H601" s="654"/>
      <c r="I601" s="654"/>
      <c r="J601" s="654"/>
      <c r="K601" s="654"/>
      <c r="L601" s="654"/>
      <c r="M601" s="654"/>
      <c r="N601" s="654"/>
      <c r="O601" s="654"/>
      <c r="P601" s="654"/>
      <c r="Q601" s="654"/>
      <c r="R601" s="654"/>
      <c r="S601" s="654"/>
      <c r="T601" s="654"/>
      <c r="U601" s="654"/>
      <c r="V601" s="52"/>
    </row>
    <row r="602" spans="1:22" s="141" customFormat="1" ht="16.5" customHeight="1">
      <c r="A602" s="734"/>
      <c r="B602" s="735" t="s">
        <v>1536</v>
      </c>
      <c r="C602" s="1089" t="s">
        <v>84</v>
      </c>
      <c r="D602" s="1089"/>
      <c r="E602" s="1089"/>
      <c r="F602" s="1089"/>
      <c r="G602" s="1089"/>
      <c r="H602" s="1089"/>
      <c r="I602" s="1089"/>
      <c r="J602" s="1089"/>
      <c r="K602" s="1089"/>
      <c r="L602" s="1089"/>
      <c r="M602" s="1089"/>
      <c r="N602" s="1089"/>
      <c r="O602" s="1089"/>
      <c r="P602" s="1089"/>
      <c r="Q602" s="1089"/>
      <c r="R602" s="1089"/>
      <c r="S602" s="1089"/>
      <c r="T602" s="1089"/>
      <c r="U602" s="1089"/>
      <c r="V602" s="668"/>
    </row>
    <row r="603" spans="1:22" s="141" customFormat="1" ht="46.5" customHeight="1">
      <c r="A603" s="108"/>
      <c r="B603" s="736"/>
      <c r="C603" s="1337" t="str">
        <f>"Neraca "&amp;'2.ISIAN DATA SKPD'!D11&amp;" Per  31 Desember "&amp;'2.ISIAN DATA SKPD'!D11&amp;" menunjukkan posisi Aset sebesar Rp. "&amp;FIXED(I606)&amp;", Kewajiban sebesar Rp. "&amp;FIXED(I607)&amp;"  dan Ekuitas sebesar Rp. "&amp;FIXED(I608)&amp;", sebagaimana tabel berikut :"</f>
        <v>Neraca 2017 Per  31 Desember 2017 menunjukkan posisi Aset sebesar Rp. 6,369,503,512.00, Kewajiban sebesar Rp. 0.00  dan Ekuitas sebesar Rp. 6,369,503,512.00, sebagaimana tabel berikut :</v>
      </c>
      <c r="D603" s="1337"/>
      <c r="E603" s="1337"/>
      <c r="F603" s="1337"/>
      <c r="G603" s="1337"/>
      <c r="H603" s="1337"/>
      <c r="I603" s="1337"/>
      <c r="J603" s="1337"/>
      <c r="K603" s="1337"/>
      <c r="L603" s="1337"/>
      <c r="M603" s="1337"/>
      <c r="N603" s="1337"/>
      <c r="O603" s="1337"/>
      <c r="P603" s="1337"/>
      <c r="Q603" s="1337"/>
      <c r="R603" s="1337"/>
      <c r="S603" s="1337"/>
      <c r="T603" s="1337"/>
      <c r="U603" s="1337"/>
      <c r="V603" s="668"/>
    </row>
    <row r="604" spans="1:22" s="141" customFormat="1" ht="7.5" customHeight="1">
      <c r="A604" s="108"/>
      <c r="B604" s="736"/>
      <c r="C604" s="638"/>
      <c r="D604" s="638"/>
      <c r="E604" s="638"/>
      <c r="F604" s="638"/>
      <c r="G604" s="638"/>
      <c r="H604" s="638"/>
      <c r="I604" s="638"/>
      <c r="J604" s="638"/>
      <c r="K604" s="638"/>
      <c r="L604" s="638"/>
      <c r="M604" s="638"/>
      <c r="N604" s="638"/>
      <c r="O604" s="638"/>
      <c r="P604" s="638"/>
      <c r="Q604" s="638"/>
      <c r="R604" s="638"/>
      <c r="S604" s="638"/>
      <c r="T604" s="638"/>
      <c r="U604" s="638"/>
      <c r="V604" s="668"/>
    </row>
    <row r="605" spans="1:22" s="141" customFormat="1" ht="26.25" customHeight="1">
      <c r="A605" s="109"/>
      <c r="B605" s="1126" t="s">
        <v>256</v>
      </c>
      <c r="C605" s="1127"/>
      <c r="D605" s="1127"/>
      <c r="E605" s="1127"/>
      <c r="F605" s="1127"/>
      <c r="G605" s="1127"/>
      <c r="H605" s="1128"/>
      <c r="I605" s="1245" t="str">
        <f>"TA "&amp;'2.ISIAN DATA SKPD'!D11&amp;""</f>
        <v>TA 2017</v>
      </c>
      <c r="J605" s="1246"/>
      <c r="K605" s="1246"/>
      <c r="L605" s="1246"/>
      <c r="M605" s="1247"/>
      <c r="N605" s="1245" t="str">
        <f>"TA "&amp;'2.ISIAN DATA SKPD'!D12&amp;""</f>
        <v>TA 2016</v>
      </c>
      <c r="O605" s="1246"/>
      <c r="P605" s="1246"/>
      <c r="Q605" s="1246"/>
      <c r="R605" s="1246"/>
      <c r="S605" s="1247"/>
      <c r="T605" s="1345" t="s">
        <v>1207</v>
      </c>
      <c r="U605" s="1346"/>
      <c r="V605" s="52"/>
    </row>
    <row r="606" spans="1:22" s="141" customFormat="1" ht="18" customHeight="1">
      <c r="A606" s="110"/>
      <c r="B606" s="1723" t="s">
        <v>1540</v>
      </c>
      <c r="C606" s="1724"/>
      <c r="D606" s="1724"/>
      <c r="E606" s="1724"/>
      <c r="F606" s="1724"/>
      <c r="G606" s="1724"/>
      <c r="H606" s="1725"/>
      <c r="I606" s="1190">
        <f>'4.NERACA'!I5</f>
        <v>6369503512</v>
      </c>
      <c r="J606" s="1191"/>
      <c r="K606" s="1191"/>
      <c r="L606" s="1191"/>
      <c r="M606" s="1191"/>
      <c r="N606" s="1190">
        <f>'4.NERACA'!D5</f>
        <v>4265046069</v>
      </c>
      <c r="O606" s="1191"/>
      <c r="P606" s="1191"/>
      <c r="Q606" s="1191"/>
      <c r="R606" s="1191"/>
      <c r="S606" s="1192"/>
      <c r="T606" s="1041">
        <f>SUM((I606-N606)/I606)*100</f>
        <v>33.039583682389846</v>
      </c>
      <c r="U606" s="1402"/>
      <c r="V606" s="52"/>
    </row>
    <row r="607" spans="1:22" s="141" customFormat="1" ht="18" customHeight="1">
      <c r="A607" s="110"/>
      <c r="B607" s="1723" t="s">
        <v>1541</v>
      </c>
      <c r="C607" s="1724"/>
      <c r="D607" s="1724"/>
      <c r="E607" s="1724"/>
      <c r="F607" s="1724"/>
      <c r="G607" s="1724"/>
      <c r="H607" s="1725"/>
      <c r="I607" s="1190">
        <f>'4.NERACA'!I155</f>
        <v>0</v>
      </c>
      <c r="J607" s="1191"/>
      <c r="K607" s="1191"/>
      <c r="L607" s="1191"/>
      <c r="M607" s="1191"/>
      <c r="N607" s="1190">
        <f>'4.NERACA'!D155</f>
        <v>3324557</v>
      </c>
      <c r="O607" s="1191"/>
      <c r="P607" s="1191"/>
      <c r="Q607" s="1191"/>
      <c r="R607" s="1191"/>
      <c r="S607" s="1192"/>
      <c r="T607" s="1041">
        <v>0</v>
      </c>
      <c r="U607" s="1402"/>
      <c r="V607" s="52"/>
    </row>
    <row r="608" spans="1:22" s="141" customFormat="1" ht="18" customHeight="1">
      <c r="A608" s="110"/>
      <c r="B608" s="1723" t="s">
        <v>4</v>
      </c>
      <c r="C608" s="1724"/>
      <c r="D608" s="1724"/>
      <c r="E608" s="1724"/>
      <c r="F608" s="1724"/>
      <c r="G608" s="1724"/>
      <c r="H608" s="1725"/>
      <c r="I608" s="1190">
        <f>'4.NERACA'!I210</f>
        <v>6369503512</v>
      </c>
      <c r="J608" s="1191"/>
      <c r="K608" s="1191"/>
      <c r="L608" s="1191"/>
      <c r="M608" s="1191"/>
      <c r="N608" s="1190">
        <f>'4.NERACA'!D210</f>
        <v>4261721512</v>
      </c>
      <c r="O608" s="1191"/>
      <c r="P608" s="1191"/>
      <c r="Q608" s="1191"/>
      <c r="R608" s="1191"/>
      <c r="S608" s="1192"/>
      <c r="T608" s="1041">
        <f>SUM((I608-N608)/I608)*100</f>
        <v>33.09177859826887</v>
      </c>
      <c r="U608" s="1402"/>
      <c r="V608" s="52"/>
    </row>
    <row r="609" spans="1:22" s="141" customFormat="1" ht="27.75" customHeight="1">
      <c r="A609" s="110"/>
      <c r="B609" s="1548" t="s">
        <v>1542</v>
      </c>
      <c r="C609" s="1726"/>
      <c r="D609" s="1726"/>
      <c r="E609" s="1726"/>
      <c r="F609" s="1726"/>
      <c r="G609" s="1726"/>
      <c r="H609" s="1727"/>
      <c r="I609" s="1206">
        <f>I608+I607</f>
        <v>6369503512</v>
      </c>
      <c r="J609" s="1207"/>
      <c r="K609" s="1207"/>
      <c r="L609" s="1207"/>
      <c r="M609" s="1207"/>
      <c r="N609" s="1206">
        <f>N608+N607</f>
        <v>4265046069</v>
      </c>
      <c r="O609" s="1207"/>
      <c r="P609" s="1207"/>
      <c r="Q609" s="1207"/>
      <c r="R609" s="1207"/>
      <c r="S609" s="1208"/>
      <c r="T609" s="1041">
        <f>SUM((I609-N609)/I609)*100</f>
        <v>33.039583682389846</v>
      </c>
      <c r="U609" s="1402"/>
      <c r="V609" s="52"/>
    </row>
    <row r="610" spans="1:22" s="141" customFormat="1" ht="5.25" customHeight="1">
      <c r="A610" s="108"/>
      <c r="B610" s="737"/>
      <c r="C610" s="738"/>
      <c r="D610" s="738"/>
      <c r="E610" s="738"/>
      <c r="F610" s="738"/>
      <c r="G610" s="738"/>
      <c r="H610" s="738"/>
      <c r="I610" s="738"/>
      <c r="J610" s="738"/>
      <c r="K610" s="738"/>
      <c r="L610" s="738"/>
      <c r="M610" s="738"/>
      <c r="N610" s="738"/>
      <c r="O610" s="738"/>
      <c r="P610" s="738"/>
      <c r="Q610" s="738"/>
      <c r="R610" s="738"/>
      <c r="S610" s="738"/>
      <c r="T610" s="738"/>
      <c r="U610" s="738"/>
      <c r="V610" s="52"/>
    </row>
    <row r="611" spans="1:22" s="141" customFormat="1" ht="18.75" customHeight="1">
      <c r="A611" s="650"/>
      <c r="B611" s="735" t="s">
        <v>1678</v>
      </c>
      <c r="C611" s="1089" t="s">
        <v>785</v>
      </c>
      <c r="D611" s="1089"/>
      <c r="E611" s="1089"/>
      <c r="F611" s="1089"/>
      <c r="G611" s="1089"/>
      <c r="H611" s="1089"/>
      <c r="I611" s="1089"/>
      <c r="J611" s="1089"/>
      <c r="K611" s="1089"/>
      <c r="L611" s="1089"/>
      <c r="M611" s="1089"/>
      <c r="N611" s="1089"/>
      <c r="O611" s="1089"/>
      <c r="P611" s="1089"/>
      <c r="Q611" s="1089"/>
      <c r="R611" s="1089"/>
      <c r="S611" s="1089"/>
      <c r="T611" s="1089"/>
      <c r="U611" s="1089"/>
      <c r="V611" s="52"/>
    </row>
    <row r="612" spans="1:22" s="141" customFormat="1" ht="46.5" customHeight="1">
      <c r="A612" s="1516"/>
      <c r="B612" s="668"/>
      <c r="C612" s="1337" t="str">
        <f>"Aset "&amp;'2.ISIAN DATA SKPD'!D2&amp;" per "&amp;'2.ISIAN DATA SKPD'!D8&amp;" adalah sebesar Rp. "&amp;FIXED(I606)&amp;" dengan penjelasan masing-masing akun sebagai berikut:"</f>
        <v>Aset Kecamatan Kaliwiro per 31 Desember 2017 adalah sebesar Rp. 6,369,503,512.00 dengan penjelasan masing-masing akun sebagai berikut:</v>
      </c>
      <c r="D612" s="1337"/>
      <c r="E612" s="1337"/>
      <c r="F612" s="1337"/>
      <c r="G612" s="1337"/>
      <c r="H612" s="1337"/>
      <c r="I612" s="1337"/>
      <c r="J612" s="1337"/>
      <c r="K612" s="1337"/>
      <c r="L612" s="1337"/>
      <c r="M612" s="1337"/>
      <c r="N612" s="1337"/>
      <c r="O612" s="1337"/>
      <c r="P612" s="1337"/>
      <c r="Q612" s="1337"/>
      <c r="R612" s="1337"/>
      <c r="S612" s="1337"/>
      <c r="T612" s="1337"/>
      <c r="U612" s="1337"/>
      <c r="V612" s="52"/>
    </row>
    <row r="613" spans="1:22" s="141" customFormat="1" ht="6" customHeight="1">
      <c r="A613" s="1516"/>
      <c r="B613" s="668"/>
      <c r="C613" s="724"/>
      <c r="D613" s="724"/>
      <c r="E613" s="724"/>
      <c r="F613" s="724"/>
      <c r="G613" s="724"/>
      <c r="H613" s="724"/>
      <c r="I613" s="724"/>
      <c r="J613" s="724"/>
      <c r="K613" s="724"/>
      <c r="L613" s="724"/>
      <c r="M613" s="724"/>
      <c r="N613" s="724"/>
      <c r="O613" s="724"/>
      <c r="P613" s="724"/>
      <c r="Q613" s="724"/>
      <c r="R613" s="724"/>
      <c r="S613" s="724"/>
      <c r="T613" s="724"/>
      <c r="U613" s="724"/>
      <c r="V613" s="52"/>
    </row>
    <row r="614" spans="1:22" s="141" customFormat="1" ht="18" customHeight="1">
      <c r="A614" s="1516"/>
      <c r="B614" s="739" t="s">
        <v>1570</v>
      </c>
      <c r="C614" s="739"/>
      <c r="D614" s="659"/>
      <c r="E614" s="659"/>
      <c r="F614" s="659"/>
      <c r="G614" s="659"/>
      <c r="H614" s="659"/>
      <c r="I614" s="659"/>
      <c r="J614" s="659"/>
      <c r="K614" s="659"/>
      <c r="L614" s="659"/>
      <c r="M614" s="659"/>
      <c r="N614" s="659"/>
      <c r="O614" s="659"/>
      <c r="P614" s="659"/>
      <c r="Q614" s="659"/>
      <c r="R614" s="659"/>
      <c r="S614" s="659"/>
      <c r="T614" s="659"/>
      <c r="U614" s="659"/>
      <c r="V614" s="52"/>
    </row>
    <row r="615" spans="1:22" s="141" customFormat="1" ht="29.25" customHeight="1">
      <c r="A615" s="650"/>
      <c r="B615" s="668"/>
      <c r="C615" s="1337" t="str">
        <f>"Aset Lancar per "&amp;'2.ISIAN DATA SKPD'!D8&amp;" sebesar  Rp."&amp;FIXED(O622)&amp;"  terdiri atas:"</f>
        <v>Aset Lancar per 31 Desember 2017 sebesar  Rp.222,000,000.00  terdiri atas:</v>
      </c>
      <c r="D615" s="1337"/>
      <c r="E615" s="1337"/>
      <c r="F615" s="1337"/>
      <c r="G615" s="1337"/>
      <c r="H615" s="1337"/>
      <c r="I615" s="1337"/>
      <c r="J615" s="1337"/>
      <c r="K615" s="1337"/>
      <c r="L615" s="1337"/>
      <c r="M615" s="1337"/>
      <c r="N615" s="1337"/>
      <c r="O615" s="1337"/>
      <c r="P615" s="1337"/>
      <c r="Q615" s="1337"/>
      <c r="R615" s="1337"/>
      <c r="S615" s="1337"/>
      <c r="T615" s="1337"/>
      <c r="U615" s="1337"/>
      <c r="V615" s="52"/>
    </row>
    <row r="616" spans="1:22" s="141" customFormat="1" ht="24.75" customHeight="1">
      <c r="A616" s="650"/>
      <c r="B616" s="647"/>
      <c r="C616" s="1542" t="s">
        <v>15</v>
      </c>
      <c r="D616" s="1543"/>
      <c r="E616" s="1495" t="s">
        <v>397</v>
      </c>
      <c r="F616" s="1495"/>
      <c r="G616" s="1495"/>
      <c r="H616" s="1495"/>
      <c r="I616" s="1495"/>
      <c r="J616" s="1495"/>
      <c r="K616" s="1495"/>
      <c r="M616" s="740" t="s">
        <v>1224</v>
      </c>
      <c r="N616" s="87"/>
      <c r="O616" s="1403">
        <f>'4.NERACA'!I7</f>
        <v>0</v>
      </c>
      <c r="P616" s="1403"/>
      <c r="Q616" s="1403"/>
      <c r="R616" s="1403"/>
      <c r="S616" s="1403"/>
      <c r="T616" s="1403"/>
      <c r="U616" s="87"/>
      <c r="V616" s="52"/>
    </row>
    <row r="617" spans="1:22" s="141" customFormat="1" ht="27" customHeight="1">
      <c r="A617" s="650"/>
      <c r="B617" s="647"/>
      <c r="C617" s="1542" t="s">
        <v>16</v>
      </c>
      <c r="D617" s="1543"/>
      <c r="E617" s="1495" t="s">
        <v>451</v>
      </c>
      <c r="F617" s="1495"/>
      <c r="G617" s="1495"/>
      <c r="H617" s="1495"/>
      <c r="I617" s="1495"/>
      <c r="J617" s="1495"/>
      <c r="K617" s="1495"/>
      <c r="M617" s="740" t="s">
        <v>1224</v>
      </c>
      <c r="N617" s="87"/>
      <c r="O617" s="1403">
        <f>'4.NERACA'!I14</f>
        <v>0</v>
      </c>
      <c r="P617" s="1403"/>
      <c r="Q617" s="1403"/>
      <c r="R617" s="1403"/>
      <c r="S617" s="1403"/>
      <c r="T617" s="1403"/>
      <c r="U617" s="632"/>
      <c r="V617" s="52"/>
    </row>
    <row r="618" spans="1:22" s="141" customFormat="1" ht="24" customHeight="1">
      <c r="A618" s="650"/>
      <c r="B618" s="647"/>
      <c r="C618" s="1542" t="s">
        <v>17</v>
      </c>
      <c r="D618" s="1543"/>
      <c r="E618" s="1495" t="s">
        <v>398</v>
      </c>
      <c r="F618" s="1495"/>
      <c r="G618" s="1495"/>
      <c r="H618" s="1495"/>
      <c r="I618" s="1495"/>
      <c r="J618" s="1495"/>
      <c r="K618" s="1495"/>
      <c r="M618" s="740" t="s">
        <v>1224</v>
      </c>
      <c r="N618" s="87"/>
      <c r="O618" s="1403">
        <f>'4.NERACA'!I22</f>
        <v>0</v>
      </c>
      <c r="P618" s="1403"/>
      <c r="Q618" s="1403"/>
      <c r="R618" s="1403"/>
      <c r="S618" s="1403"/>
      <c r="T618" s="1403"/>
      <c r="U618" s="87"/>
      <c r="V618" s="52"/>
    </row>
    <row r="619" spans="1:22" s="141" customFormat="1" ht="23.25" customHeight="1">
      <c r="A619" s="650"/>
      <c r="B619" s="647"/>
      <c r="C619" s="1542" t="s">
        <v>786</v>
      </c>
      <c r="D619" s="1543"/>
      <c r="E619" s="1495" t="s">
        <v>399</v>
      </c>
      <c r="F619" s="1495"/>
      <c r="G619" s="1495"/>
      <c r="H619" s="1495"/>
      <c r="I619" s="1495"/>
      <c r="J619" s="1495"/>
      <c r="K619" s="1495"/>
      <c r="M619" s="740" t="s">
        <v>1224</v>
      </c>
      <c r="N619" s="87"/>
      <c r="O619" s="1403">
        <f>'4.NERACA'!I34</f>
        <v>0</v>
      </c>
      <c r="P619" s="1403"/>
      <c r="Q619" s="1403"/>
      <c r="R619" s="1403"/>
      <c r="S619" s="1403"/>
      <c r="T619" s="1403"/>
      <c r="U619" s="87"/>
      <c r="V619" s="52"/>
    </row>
    <row r="620" spans="1:22" s="141" customFormat="1" ht="25.5" customHeight="1">
      <c r="A620" s="650"/>
      <c r="B620" s="647"/>
      <c r="C620" s="1542" t="s">
        <v>1221</v>
      </c>
      <c r="D620" s="1543"/>
      <c r="E620" s="1495" t="s">
        <v>736</v>
      </c>
      <c r="F620" s="1495"/>
      <c r="G620" s="1495"/>
      <c r="H620" s="1495"/>
      <c r="I620" s="1495"/>
      <c r="J620" s="1495"/>
      <c r="K620" s="1495"/>
      <c r="M620" s="740" t="s">
        <v>1224</v>
      </c>
      <c r="N620" s="87"/>
      <c r="O620" s="1403">
        <f>'4.NERACA'!I37</f>
        <v>0</v>
      </c>
      <c r="P620" s="1403"/>
      <c r="Q620" s="1403"/>
      <c r="R620" s="1403"/>
      <c r="S620" s="1403"/>
      <c r="T620" s="1403"/>
      <c r="U620" s="632"/>
      <c r="V620" s="52"/>
    </row>
    <row r="621" spans="1:22" s="141" customFormat="1" ht="27.75" customHeight="1">
      <c r="A621" s="650"/>
      <c r="B621" s="647"/>
      <c r="C621" s="1542" t="s">
        <v>1225</v>
      </c>
      <c r="D621" s="1543"/>
      <c r="E621" s="1495" t="s">
        <v>87</v>
      </c>
      <c r="F621" s="1495"/>
      <c r="G621" s="1495"/>
      <c r="H621" s="1495"/>
      <c r="I621" s="1495"/>
      <c r="J621" s="1495"/>
      <c r="K621" s="1495"/>
      <c r="M621" s="740" t="s">
        <v>1224</v>
      </c>
      <c r="N621" s="87"/>
      <c r="O621" s="1551">
        <f>'4.NERACA'!I43</f>
        <v>222000000</v>
      </c>
      <c r="P621" s="1551"/>
      <c r="Q621" s="1551"/>
      <c r="R621" s="1551"/>
      <c r="S621" s="1551"/>
      <c r="T621" s="1551"/>
      <c r="U621" s="87"/>
      <c r="V621" s="52"/>
    </row>
    <row r="622" spans="1:22" s="141" customFormat="1" ht="28.5" customHeight="1">
      <c r="A622" s="650"/>
      <c r="B622" s="647"/>
      <c r="C622" s="1544" t="s">
        <v>254</v>
      </c>
      <c r="D622" s="1544"/>
      <c r="E622" s="1544"/>
      <c r="F622" s="1544"/>
      <c r="G622" s="1544"/>
      <c r="H622" s="1544"/>
      <c r="I622" s="1544"/>
      <c r="J622" s="1544"/>
      <c r="K622" s="1544"/>
      <c r="M622" s="740" t="s">
        <v>1224</v>
      </c>
      <c r="N622" s="88"/>
      <c r="O622" s="1341">
        <f>SUM(N616:Q621)</f>
        <v>222000000</v>
      </c>
      <c r="P622" s="1341"/>
      <c r="Q622" s="1341"/>
      <c r="R622" s="1341"/>
      <c r="S622" s="1341"/>
      <c r="T622" s="1341"/>
      <c r="U622" s="87"/>
      <c r="V622" s="52"/>
    </row>
    <row r="623" spans="1:22" s="141" customFormat="1" ht="6.75" customHeight="1">
      <c r="A623" s="650"/>
      <c r="B623" s="647"/>
      <c r="C623" s="8"/>
      <c r="D623" s="8"/>
      <c r="E623" s="8"/>
      <c r="F623" s="8"/>
      <c r="G623" s="8"/>
      <c r="H623" s="8"/>
      <c r="I623" s="8"/>
      <c r="J623" s="8"/>
      <c r="K623" s="8"/>
      <c r="L623" s="8"/>
      <c r="M623" s="632"/>
      <c r="N623" s="632"/>
      <c r="O623" s="632"/>
      <c r="P623" s="632"/>
      <c r="Q623" s="632"/>
      <c r="R623" s="632"/>
      <c r="S623" s="632"/>
      <c r="T623" s="632"/>
      <c r="U623" s="632"/>
      <c r="V623" s="52"/>
    </row>
    <row r="624" spans="1:22" s="141" customFormat="1" ht="16.5" customHeight="1">
      <c r="A624" s="650"/>
      <c r="C624" s="643" t="s">
        <v>15</v>
      </c>
      <c r="D624" s="1089" t="s">
        <v>401</v>
      </c>
      <c r="E624" s="1089"/>
      <c r="F624" s="1089"/>
      <c r="G624" s="1089"/>
      <c r="H624" s="1089"/>
      <c r="I624" s="1089"/>
      <c r="J624" s="1089"/>
      <c r="K624" s="1089"/>
      <c r="L624" s="1089"/>
      <c r="M624" s="1089"/>
      <c r="N624" s="1089"/>
      <c r="O624" s="1089"/>
      <c r="P624" s="1089"/>
      <c r="Q624" s="1089"/>
      <c r="R624" s="1089"/>
      <c r="S624" s="1089"/>
      <c r="T624" s="1089"/>
      <c r="U624" s="659"/>
      <c r="V624" s="52"/>
    </row>
    <row r="625" spans="1:22" s="141" customFormat="1" ht="78" customHeight="1">
      <c r="A625" s="650"/>
      <c r="C625" s="741"/>
      <c r="D625" s="1337" t="str">
        <f>"Kas dan Setara Kas  per "&amp;'2.ISIAN DATA SKPD'!D8&amp;" dan TA "&amp;'2.ISIAN DATA SKPD'!D12&amp;" adalah sebesar Rp. "&amp;FIXED(J632)&amp;"  dan Rp. "&amp;FIXED(O632)&amp;" mengalami kenaikan/penurunan sebesar "&amp;FIXED(T632)&amp;"%  dengan rincian  sebagai berikut:"</f>
        <v>Kas dan Setara Kas  per 31 Desember 2017 dan TA 2016 adalah sebesar Rp. 0.00  dan Rp. 5,764,737.00 mengalami kenaikan/penurunan sebesar -100.00%  dengan rincian  sebagai berikut:</v>
      </c>
      <c r="E625" s="1337"/>
      <c r="F625" s="1337"/>
      <c r="G625" s="1337"/>
      <c r="H625" s="1337"/>
      <c r="I625" s="1337"/>
      <c r="J625" s="1337"/>
      <c r="K625" s="1337"/>
      <c r="L625" s="1337"/>
      <c r="M625" s="1337"/>
      <c r="N625" s="1337"/>
      <c r="O625" s="1337"/>
      <c r="P625" s="1337"/>
      <c r="Q625" s="1337"/>
      <c r="R625" s="1337"/>
      <c r="S625" s="1337"/>
      <c r="T625" s="1337"/>
      <c r="U625" s="1337"/>
      <c r="V625" s="52"/>
    </row>
    <row r="626" spans="1:22" s="141" customFormat="1" ht="12.75" customHeight="1">
      <c r="A626" s="650"/>
      <c r="C626" s="741"/>
      <c r="D626" s="724"/>
      <c r="E626" s="724"/>
      <c r="F626" s="724"/>
      <c r="G626" s="724"/>
      <c r="H626" s="724"/>
      <c r="I626" s="724"/>
      <c r="J626" s="724"/>
      <c r="K626" s="724"/>
      <c r="L626" s="724"/>
      <c r="M626" s="724"/>
      <c r="N626" s="724"/>
      <c r="O626" s="724"/>
      <c r="P626" s="724"/>
      <c r="Q626" s="724"/>
      <c r="R626" s="724"/>
      <c r="S626" s="724"/>
      <c r="T626" s="724"/>
      <c r="U626" s="724"/>
      <c r="V626" s="52"/>
    </row>
    <row r="627" spans="1:22" s="141" customFormat="1" ht="16.5" customHeight="1">
      <c r="A627" s="650"/>
      <c r="B627" s="742" t="s">
        <v>126</v>
      </c>
      <c r="C627" s="1535" t="s">
        <v>401</v>
      </c>
      <c r="D627" s="1536"/>
      <c r="E627" s="1536"/>
      <c r="F627" s="1536"/>
      <c r="G627" s="1536"/>
      <c r="H627" s="1536"/>
      <c r="I627" s="1537"/>
      <c r="J627" s="1187" t="str">
        <f>I605</f>
        <v>TA 2017</v>
      </c>
      <c r="K627" s="1545"/>
      <c r="L627" s="1545"/>
      <c r="M627" s="1545"/>
      <c r="N627" s="1546"/>
      <c r="O627" s="1126" t="str">
        <f>N605</f>
        <v>TA 2016</v>
      </c>
      <c r="P627" s="1545"/>
      <c r="Q627" s="1545"/>
      <c r="R627" s="1545"/>
      <c r="S627" s="1546"/>
      <c r="T627" s="1552" t="s">
        <v>1248</v>
      </c>
      <c r="U627" s="1546"/>
      <c r="V627" s="52"/>
    </row>
    <row r="628" spans="1:22" s="141" customFormat="1" ht="33" customHeight="1">
      <c r="A628" s="650"/>
      <c r="B628" s="743">
        <v>1</v>
      </c>
      <c r="C628" s="1547" t="s">
        <v>85</v>
      </c>
      <c r="D628" s="1547"/>
      <c r="E628" s="1547"/>
      <c r="F628" s="1547"/>
      <c r="G628" s="1547"/>
      <c r="H628" s="1547"/>
      <c r="I628" s="1547"/>
      <c r="J628" s="1190">
        <f>'4.NERACA'!I9</f>
        <v>0</v>
      </c>
      <c r="K628" s="1191"/>
      <c r="L628" s="1191"/>
      <c r="M628" s="1191"/>
      <c r="N628" s="1191"/>
      <c r="O628" s="1190">
        <f>'4.NERACA'!D9</f>
        <v>0</v>
      </c>
      <c r="P628" s="1191"/>
      <c r="Q628" s="1191"/>
      <c r="R628" s="1191"/>
      <c r="S628" s="1191"/>
      <c r="T628" s="1224">
        <v>0</v>
      </c>
      <c r="U628" s="1225"/>
      <c r="V628" s="52"/>
    </row>
    <row r="629" spans="1:22" s="141" customFormat="1" ht="33" customHeight="1">
      <c r="A629" s="1572"/>
      <c r="B629" s="743">
        <v>2</v>
      </c>
      <c r="C629" s="1547" t="s">
        <v>12</v>
      </c>
      <c r="D629" s="1547"/>
      <c r="E629" s="1547"/>
      <c r="F629" s="1547"/>
      <c r="G629" s="1547"/>
      <c r="H629" s="1547"/>
      <c r="I629" s="1547"/>
      <c r="J629" s="1190">
        <f>'4.NERACA'!I10</f>
        <v>0</v>
      </c>
      <c r="K629" s="1191"/>
      <c r="L629" s="1191"/>
      <c r="M629" s="1191"/>
      <c r="N629" s="1191"/>
      <c r="O629" s="1190">
        <f>'4.NERACA'!D10</f>
        <v>5764737</v>
      </c>
      <c r="P629" s="1191"/>
      <c r="Q629" s="1191"/>
      <c r="R629" s="1191"/>
      <c r="S629" s="1191"/>
      <c r="T629" s="1224">
        <f>(J629-O629)/O629*100</f>
        <v>-100</v>
      </c>
      <c r="U629" s="1225"/>
      <c r="V629" s="52"/>
    </row>
    <row r="630" spans="1:22" s="141" customFormat="1" ht="18" customHeight="1">
      <c r="A630" s="1572"/>
      <c r="B630" s="743">
        <v>3</v>
      </c>
      <c r="C630" s="1547" t="s">
        <v>402</v>
      </c>
      <c r="D630" s="1547"/>
      <c r="E630" s="1547"/>
      <c r="F630" s="1547"/>
      <c r="G630" s="1547"/>
      <c r="H630" s="1547"/>
      <c r="I630" s="1547"/>
      <c r="J630" s="1190">
        <f>'4.NERACA'!I11</f>
        <v>0</v>
      </c>
      <c r="K630" s="1191"/>
      <c r="L630" s="1191"/>
      <c r="M630" s="1191"/>
      <c r="N630" s="1191"/>
      <c r="O630" s="1190">
        <f>'4.NERACA'!D11</f>
        <v>0</v>
      </c>
      <c r="P630" s="1191"/>
      <c r="Q630" s="1191"/>
      <c r="R630" s="1191"/>
      <c r="S630" s="1191"/>
      <c r="T630" s="1224">
        <v>0</v>
      </c>
      <c r="U630" s="1225"/>
      <c r="V630" s="52"/>
    </row>
    <row r="631" spans="1:22" s="141" customFormat="1" ht="21.75" customHeight="1">
      <c r="A631" s="650"/>
      <c r="B631" s="743">
        <v>4</v>
      </c>
      <c r="C631" s="1547" t="s">
        <v>448</v>
      </c>
      <c r="D631" s="1547"/>
      <c r="E631" s="1547"/>
      <c r="F631" s="1547"/>
      <c r="G631" s="1547"/>
      <c r="H631" s="1547"/>
      <c r="I631" s="1547"/>
      <c r="J631" s="1190">
        <f>'4.NERACA'!I12</f>
        <v>0</v>
      </c>
      <c r="K631" s="1191"/>
      <c r="L631" s="1191"/>
      <c r="M631" s="1191"/>
      <c r="N631" s="1191"/>
      <c r="O631" s="1190">
        <f>'4.NERACA'!D12</f>
        <v>0</v>
      </c>
      <c r="P631" s="1191"/>
      <c r="Q631" s="1191"/>
      <c r="R631" s="1191"/>
      <c r="S631" s="1191"/>
      <c r="T631" s="1224">
        <v>0</v>
      </c>
      <c r="U631" s="1225"/>
      <c r="V631" s="52"/>
    </row>
    <row r="632" spans="1:22" s="141" customFormat="1" ht="23.25" customHeight="1">
      <c r="A632" s="650"/>
      <c r="B632" s="1535" t="s">
        <v>254</v>
      </c>
      <c r="C632" s="1536"/>
      <c r="D632" s="1536"/>
      <c r="E632" s="1536"/>
      <c r="F632" s="1536"/>
      <c r="G632" s="1536"/>
      <c r="H632" s="1536"/>
      <c r="I632" s="1537"/>
      <c r="J632" s="1548">
        <f>SUM(J628:N631)</f>
        <v>0</v>
      </c>
      <c r="K632" s="1549"/>
      <c r="L632" s="1549"/>
      <c r="M632" s="1549"/>
      <c r="N632" s="1550"/>
      <c r="O632" s="1548">
        <f>SUM(O628:S631)</f>
        <v>5764737</v>
      </c>
      <c r="P632" s="1549"/>
      <c r="Q632" s="1549"/>
      <c r="R632" s="1549"/>
      <c r="S632" s="1550"/>
      <c r="T632" s="1553">
        <f>(J632-O632)/O632*100</f>
        <v>-100</v>
      </c>
      <c r="U632" s="1554"/>
      <c r="V632" s="52"/>
    </row>
    <row r="633" spans="1:22" s="141" customFormat="1" ht="10.5" customHeight="1">
      <c r="A633" s="650"/>
      <c r="B633" s="647"/>
      <c r="C633" s="744"/>
      <c r="D633" s="744"/>
      <c r="E633" s="744"/>
      <c r="F633" s="744"/>
      <c r="G633" s="744"/>
      <c r="H633" s="744"/>
      <c r="I633" s="744"/>
      <c r="J633" s="744"/>
      <c r="K633" s="744"/>
      <c r="L633" s="744"/>
      <c r="M633" s="744"/>
      <c r="N633" s="744"/>
      <c r="O633" s="744"/>
      <c r="P633" s="744"/>
      <c r="Q633" s="744"/>
      <c r="R633" s="744"/>
      <c r="S633" s="744"/>
      <c r="T633" s="744"/>
      <c r="U633" s="745"/>
      <c r="V633" s="52"/>
    </row>
    <row r="634" spans="1:22" s="141" customFormat="1" ht="23.25" customHeight="1">
      <c r="A634" s="650"/>
      <c r="B634" s="647"/>
      <c r="C634" s="643" t="s">
        <v>7</v>
      </c>
      <c r="D634" s="1089" t="s">
        <v>85</v>
      </c>
      <c r="E634" s="1089"/>
      <c r="F634" s="1089"/>
      <c r="G634" s="1089"/>
      <c r="H634" s="1089"/>
      <c r="I634" s="1089"/>
      <c r="J634" s="1089"/>
      <c r="K634" s="1089"/>
      <c r="L634" s="1089"/>
      <c r="M634" s="1089"/>
      <c r="N634" s="1089"/>
      <c r="O634" s="1089"/>
      <c r="P634" s="1089"/>
      <c r="Q634" s="1089"/>
      <c r="R634" s="1089"/>
      <c r="S634" s="1089"/>
      <c r="T634" s="1089"/>
      <c r="U634" s="1089"/>
      <c r="V634" s="52"/>
    </row>
    <row r="635" spans="1:22" s="141" customFormat="1" ht="47.25" customHeight="1">
      <c r="A635" s="650"/>
      <c r="B635" s="647"/>
      <c r="C635" s="744"/>
      <c r="D635" s="1091" t="str">
        <f>"Saldo Kas di Bendahara Penerimaan per tanggal "&amp;'2.ISIAN DATA SKPD'!D8&amp;" dan "&amp;'2.ISIAN DATA SKPD'!D12&amp;" adalah sebesar masing-masing Rp.0 dan Rp. 0 mengalami kenaikan/penurunan sebesar 0 %."</f>
        <v>Saldo Kas di Bendahara Penerimaan per tanggal 31 Desember 2017 dan 2016 adalah sebesar masing-masing Rp.0 dan Rp. 0 mengalami kenaikan/penurunan sebesar 0 %.</v>
      </c>
      <c r="E635" s="1091"/>
      <c r="F635" s="1091"/>
      <c r="G635" s="1091"/>
      <c r="H635" s="1091"/>
      <c r="I635" s="1091"/>
      <c r="J635" s="1091"/>
      <c r="K635" s="1091"/>
      <c r="L635" s="1091"/>
      <c r="M635" s="1091"/>
      <c r="N635" s="1091"/>
      <c r="O635" s="1091"/>
      <c r="P635" s="1091"/>
      <c r="Q635" s="1091"/>
      <c r="R635" s="1091"/>
      <c r="S635" s="1091"/>
      <c r="T635" s="1091"/>
      <c r="U635" s="1091"/>
      <c r="V635" s="52"/>
    </row>
    <row r="636" spans="1:22" s="141" customFormat="1" ht="60.75" customHeight="1">
      <c r="A636" s="650"/>
      <c r="C636" s="38"/>
      <c r="D636" s="1091" t="s">
        <v>403</v>
      </c>
      <c r="E636" s="1091"/>
      <c r="F636" s="1091"/>
      <c r="G636" s="1091"/>
      <c r="H636" s="1091"/>
      <c r="I636" s="1091"/>
      <c r="J636" s="1091"/>
      <c r="K636" s="1091"/>
      <c r="L636" s="1091"/>
      <c r="M636" s="1091"/>
      <c r="N636" s="1091"/>
      <c r="O636" s="1091"/>
      <c r="P636" s="1091"/>
      <c r="Q636" s="1091"/>
      <c r="R636" s="1091"/>
      <c r="S636" s="1091"/>
      <c r="T636" s="1091"/>
      <c r="U636" s="1091"/>
      <c r="V636" s="52"/>
    </row>
    <row r="637" spans="1:22" s="141" customFormat="1" ht="6.75" customHeight="1">
      <c r="A637" s="650"/>
      <c r="C637" s="38"/>
      <c r="D637" s="702"/>
      <c r="E637" s="702"/>
      <c r="F637" s="702"/>
      <c r="G637" s="702"/>
      <c r="H637" s="702"/>
      <c r="I637" s="702"/>
      <c r="J637" s="702"/>
      <c r="K637" s="702"/>
      <c r="L637" s="702"/>
      <c r="M637" s="702"/>
      <c r="N637" s="702"/>
      <c r="O637" s="702"/>
      <c r="P637" s="702"/>
      <c r="Q637" s="702"/>
      <c r="R637" s="702"/>
      <c r="S637" s="702"/>
      <c r="T637" s="702"/>
      <c r="U637" s="702"/>
      <c r="V637" s="52"/>
    </row>
    <row r="638" spans="1:22" s="141" customFormat="1" ht="23.25" customHeight="1">
      <c r="A638" s="650"/>
      <c r="B638" s="1088" t="s">
        <v>125</v>
      </c>
      <c r="C638" s="1088"/>
      <c r="D638" s="1088"/>
      <c r="E638" s="1088"/>
      <c r="F638" s="1088"/>
      <c r="G638" s="1088"/>
      <c r="H638" s="1088"/>
      <c r="I638" s="1088"/>
      <c r="J638" s="1088"/>
      <c r="K638" s="1088"/>
      <c r="L638" s="1088"/>
      <c r="M638" s="1088"/>
      <c r="N638" s="1088"/>
      <c r="O638" s="1088"/>
      <c r="P638" s="1088"/>
      <c r="Q638" s="1088"/>
      <c r="R638" s="1088"/>
      <c r="S638" s="1088"/>
      <c r="T638" s="1088"/>
      <c r="U638" s="1088"/>
      <c r="V638" s="52"/>
    </row>
    <row r="639" spans="1:22" s="141" customFormat="1" ht="15">
      <c r="A639" s="650"/>
      <c r="B639" s="1535" t="s">
        <v>28</v>
      </c>
      <c r="C639" s="1536"/>
      <c r="D639" s="1536"/>
      <c r="E639" s="1536"/>
      <c r="F639" s="1536"/>
      <c r="G639" s="1536"/>
      <c r="H639" s="1536"/>
      <c r="I639" s="1536"/>
      <c r="J639" s="1187" t="str">
        <f>J627</f>
        <v>TA 2017</v>
      </c>
      <c r="K639" s="1188"/>
      <c r="L639" s="1188"/>
      <c r="M639" s="1188"/>
      <c r="N639" s="1189"/>
      <c r="O639" s="1126" t="str">
        <f>O627</f>
        <v>TA 2016</v>
      </c>
      <c r="P639" s="1127"/>
      <c r="Q639" s="1127"/>
      <c r="R639" s="1127"/>
      <c r="S639" s="1128"/>
      <c r="T639" s="1538" t="s">
        <v>1248</v>
      </c>
      <c r="U639" s="1538"/>
      <c r="V639" s="52"/>
    </row>
    <row r="640" spans="1:22" s="141" customFormat="1" ht="15">
      <c r="A640" s="650"/>
      <c r="B640" s="1218" t="s">
        <v>1543</v>
      </c>
      <c r="C640" s="1219"/>
      <c r="D640" s="1219"/>
      <c r="E640" s="1219"/>
      <c r="F640" s="1219"/>
      <c r="G640" s="1219"/>
      <c r="H640" s="1219"/>
      <c r="I640" s="1220"/>
      <c r="J640" s="1190">
        <v>0</v>
      </c>
      <c r="K640" s="1191"/>
      <c r="L640" s="1191"/>
      <c r="M640" s="1191"/>
      <c r="N640" s="1191"/>
      <c r="O640" s="1190">
        <v>0</v>
      </c>
      <c r="P640" s="1191"/>
      <c r="Q640" s="1191"/>
      <c r="R640" s="1191"/>
      <c r="S640" s="1191"/>
      <c r="T640" s="1224">
        <v>0</v>
      </c>
      <c r="U640" s="1225"/>
      <c r="V640" s="52"/>
    </row>
    <row r="641" spans="1:22" s="141" customFormat="1" ht="15">
      <c r="A641" s="83"/>
      <c r="B641" s="1218" t="s">
        <v>1219</v>
      </c>
      <c r="C641" s="1219"/>
      <c r="D641" s="1219"/>
      <c r="E641" s="1219"/>
      <c r="F641" s="1219"/>
      <c r="G641" s="1219"/>
      <c r="H641" s="1219"/>
      <c r="I641" s="1220"/>
      <c r="J641" s="1190">
        <f>'4.NERACA'!I9</f>
        <v>0</v>
      </c>
      <c r="K641" s="1191"/>
      <c r="L641" s="1191"/>
      <c r="M641" s="1191"/>
      <c r="N641" s="1191"/>
      <c r="O641" s="1190">
        <f>'4.NERACA'!D9</f>
        <v>0</v>
      </c>
      <c r="P641" s="1191"/>
      <c r="Q641" s="1191"/>
      <c r="R641" s="1191"/>
      <c r="S641" s="1191"/>
      <c r="T641" s="1224">
        <v>0</v>
      </c>
      <c r="U641" s="1225"/>
      <c r="V641" s="52"/>
    </row>
    <row r="642" spans="1:22" s="141" customFormat="1" ht="15">
      <c r="A642" s="650"/>
      <c r="B642" s="1689" t="s">
        <v>10</v>
      </c>
      <c r="C642" s="1690"/>
      <c r="D642" s="1690"/>
      <c r="E642" s="1690"/>
      <c r="F642" s="1690"/>
      <c r="G642" s="1690"/>
      <c r="H642" s="1690"/>
      <c r="I642" s="1691"/>
      <c r="J642" s="1206">
        <f>SUM(J640:N641)</f>
        <v>0</v>
      </c>
      <c r="K642" s="1207"/>
      <c r="L642" s="1207"/>
      <c r="M642" s="1207"/>
      <c r="N642" s="1207"/>
      <c r="O642" s="1206">
        <f>SUM(O640:S641)</f>
        <v>0</v>
      </c>
      <c r="P642" s="1207"/>
      <c r="Q642" s="1207"/>
      <c r="R642" s="1207"/>
      <c r="S642" s="1207"/>
      <c r="T642" s="1224">
        <v>0</v>
      </c>
      <c r="U642" s="1225"/>
      <c r="V642" s="52"/>
    </row>
    <row r="643" spans="1:22" s="141" customFormat="1" ht="6" customHeight="1">
      <c r="A643" s="650"/>
      <c r="B643" s="715"/>
      <c r="C643" s="823"/>
      <c r="D643" s="823"/>
      <c r="E643" s="823"/>
      <c r="F643" s="823"/>
      <c r="G643" s="823"/>
      <c r="H643" s="823"/>
      <c r="I643" s="823"/>
      <c r="J643" s="744"/>
      <c r="K643" s="744"/>
      <c r="L643" s="744"/>
      <c r="M643" s="744"/>
      <c r="N643" s="744"/>
      <c r="O643" s="744"/>
      <c r="P643" s="744"/>
      <c r="Q643" s="744"/>
      <c r="R643" s="744"/>
      <c r="S643" s="744"/>
      <c r="T643" s="744"/>
      <c r="U643" s="745"/>
      <c r="V643" s="52"/>
    </row>
    <row r="644" spans="1:22" s="141" customFormat="1" ht="16.5" customHeight="1">
      <c r="A644" s="650"/>
      <c r="B644" s="647"/>
      <c r="C644" s="746" t="s">
        <v>8</v>
      </c>
      <c r="D644" s="1089" t="s">
        <v>12</v>
      </c>
      <c r="E644" s="1089"/>
      <c r="F644" s="1089"/>
      <c r="G644" s="1089"/>
      <c r="H644" s="1089"/>
      <c r="I644" s="1089"/>
      <c r="J644" s="1089"/>
      <c r="K644" s="1089"/>
      <c r="L644" s="1089"/>
      <c r="M644" s="1089"/>
      <c r="N644" s="1089"/>
      <c r="O644" s="1089"/>
      <c r="P644" s="1089"/>
      <c r="Q644" s="1089"/>
      <c r="R644" s="1089"/>
      <c r="S644" s="1089"/>
      <c r="T644" s="1089"/>
      <c r="U644" s="1089"/>
      <c r="V644" s="52"/>
    </row>
    <row r="645" spans="1:22" s="141" customFormat="1" ht="92.25" customHeight="1">
      <c r="A645" s="650"/>
      <c r="C645" s="38"/>
      <c r="D645" s="1091" t="str">
        <f>"Saldo Kas di Bendahara Pengeluaran TA "&amp;'2.ISIAN DATA SKPD'!D11&amp;" dan "&amp;'2.ISIAN DATA SKPD'!D12&amp;" adalah masing-masing sebesar Rp. "&amp;FIXED('4.NERACA'!I10)&amp;" dan Rp. "&amp;FIXED('4.NERACA'!D10)&amp;" yang merupakan kas yang dikuasai, dikelola dan berada di bawah tanggung jawab Bendahara Pengeluaran yang berasal dari sisa UP/TUP yang belum dipertanggung-jawabkan atau belum disetorkan ke Rekening Kas Daerah per tanggal neraca."</f>
        <v>Saldo Kas di Bendahara Pengeluaran TA 2017 dan 2016 adalah masing-masing sebesar Rp. 0.00 dan Rp. 5,764,737.00 yang merupakan kas yang dikuasai, dikelola dan berada di bawah tanggung jawab Bendahara Pengeluaran yang berasal dari sisa UP/TUP yang belum dipertanggung-jawabkan atau belum disetorkan ke Rekening Kas Daerah per tanggal neraca.</v>
      </c>
      <c r="E645" s="1091"/>
      <c r="F645" s="1091"/>
      <c r="G645" s="1091"/>
      <c r="H645" s="1091"/>
      <c r="I645" s="1091"/>
      <c r="J645" s="1091"/>
      <c r="K645" s="1091"/>
      <c r="L645" s="1091"/>
      <c r="M645" s="1091"/>
      <c r="N645" s="1091"/>
      <c r="O645" s="1091"/>
      <c r="P645" s="1091"/>
      <c r="Q645" s="1091"/>
      <c r="R645" s="1091"/>
      <c r="S645" s="1091"/>
      <c r="T645" s="1091"/>
      <c r="U645" s="1091"/>
      <c r="V645" s="52"/>
    </row>
    <row r="646" spans="1:22" s="141" customFormat="1" ht="16.5" customHeight="1">
      <c r="A646" s="650"/>
      <c r="C646" s="38"/>
      <c r="D646" s="1091" t="s">
        <v>123</v>
      </c>
      <c r="E646" s="1091"/>
      <c r="F646" s="1091"/>
      <c r="G646" s="1091"/>
      <c r="H646" s="1091"/>
      <c r="I646" s="1091"/>
      <c r="J646" s="1091"/>
      <c r="K646" s="1091"/>
      <c r="L646" s="1091"/>
      <c r="M646" s="1091"/>
      <c r="N646" s="1091"/>
      <c r="O646" s="1091"/>
      <c r="P646" s="1091"/>
      <c r="Q646" s="1091"/>
      <c r="R646" s="1091"/>
      <c r="S646" s="1091"/>
      <c r="T646" s="1091"/>
      <c r="U646" s="1091"/>
      <c r="V646" s="52"/>
    </row>
    <row r="647" spans="1:22" s="141" customFormat="1" ht="3" customHeight="1">
      <c r="A647" s="650"/>
      <c r="C647" s="38"/>
      <c r="D647" s="702"/>
      <c r="E647" s="702"/>
      <c r="F647" s="702"/>
      <c r="G647" s="702"/>
      <c r="H647" s="702"/>
      <c r="I647" s="702"/>
      <c r="J647" s="702"/>
      <c r="K647" s="702"/>
      <c r="L647" s="702"/>
      <c r="M647" s="702"/>
      <c r="N647" s="702"/>
      <c r="O647" s="702"/>
      <c r="P647" s="702"/>
      <c r="Q647" s="702"/>
      <c r="R647" s="702"/>
      <c r="S647" s="702"/>
      <c r="T647" s="702"/>
      <c r="U647" s="702"/>
      <c r="V647" s="52"/>
    </row>
    <row r="648" spans="1:22" s="141" customFormat="1" ht="3" customHeight="1">
      <c r="A648" s="650"/>
      <c r="C648" s="38"/>
      <c r="D648" s="702"/>
      <c r="E648" s="702"/>
      <c r="F648" s="702"/>
      <c r="G648" s="702"/>
      <c r="H648" s="702"/>
      <c r="I648" s="702"/>
      <c r="J648" s="702"/>
      <c r="K648" s="702"/>
      <c r="L648" s="702"/>
      <c r="M648" s="702"/>
      <c r="N648" s="702"/>
      <c r="O648" s="702"/>
      <c r="P648" s="702"/>
      <c r="Q648" s="702"/>
      <c r="R648" s="702"/>
      <c r="S648" s="702"/>
      <c r="T648" s="702"/>
      <c r="U648" s="702"/>
      <c r="V648" s="52"/>
    </row>
    <row r="649" spans="1:22" s="141" customFormat="1" ht="18.75" customHeight="1">
      <c r="A649" s="650"/>
      <c r="B649" s="1088" t="s">
        <v>124</v>
      </c>
      <c r="C649" s="1088"/>
      <c r="D649" s="1088"/>
      <c r="E649" s="1088"/>
      <c r="F649" s="1088"/>
      <c r="G649" s="1088"/>
      <c r="H649" s="1088"/>
      <c r="I649" s="1088"/>
      <c r="J649" s="1088"/>
      <c r="K649" s="1088"/>
      <c r="L649" s="1088"/>
      <c r="M649" s="1088"/>
      <c r="N649" s="1088"/>
      <c r="O649" s="1088"/>
      <c r="P649" s="1088"/>
      <c r="Q649" s="1088"/>
      <c r="R649" s="1088"/>
      <c r="S649" s="1088"/>
      <c r="T649" s="1088"/>
      <c r="U649" s="1088"/>
      <c r="V649" s="52"/>
    </row>
    <row r="650" spans="1:22" s="141" customFormat="1" ht="15">
      <c r="A650" s="650"/>
      <c r="B650" s="1535" t="s">
        <v>28</v>
      </c>
      <c r="C650" s="1536"/>
      <c r="D650" s="1536"/>
      <c r="E650" s="1536"/>
      <c r="F650" s="1536"/>
      <c r="G650" s="1536"/>
      <c r="H650" s="1536"/>
      <c r="I650" s="1536"/>
      <c r="J650" s="1536"/>
      <c r="K650" s="1537"/>
      <c r="L650" s="1187" t="str">
        <f>J639</f>
        <v>TA 2017</v>
      </c>
      <c r="M650" s="1127"/>
      <c r="N650" s="1127"/>
      <c r="O650" s="1127"/>
      <c r="P650" s="1128"/>
      <c r="Q650" s="1126" t="str">
        <f>O639</f>
        <v>TA 2016</v>
      </c>
      <c r="R650" s="1127"/>
      <c r="S650" s="1127"/>
      <c r="T650" s="1127"/>
      <c r="U650" s="1128"/>
      <c r="V650" s="52"/>
    </row>
    <row r="651" spans="1:22" s="141" customFormat="1" ht="15">
      <c r="A651" s="650"/>
      <c r="B651" s="1539" t="s">
        <v>1543</v>
      </c>
      <c r="C651" s="1540"/>
      <c r="D651" s="1540"/>
      <c r="E651" s="1540"/>
      <c r="F651" s="1540"/>
      <c r="G651" s="1540"/>
      <c r="H651" s="1540"/>
      <c r="I651" s="1540"/>
      <c r="J651" s="1540"/>
      <c r="K651" s="1541"/>
      <c r="L651" s="1190">
        <v>0</v>
      </c>
      <c r="M651" s="1191"/>
      <c r="N651" s="1191"/>
      <c r="O651" s="1191"/>
      <c r="P651" s="1191"/>
      <c r="Q651" s="1357">
        <v>0</v>
      </c>
      <c r="R651" s="1357"/>
      <c r="S651" s="1357"/>
      <c r="T651" s="1357"/>
      <c r="U651" s="1357"/>
      <c r="V651" s="52"/>
    </row>
    <row r="652" spans="1:22" s="141" customFormat="1" ht="15">
      <c r="A652" s="747"/>
      <c r="B652" s="1539" t="s">
        <v>1220</v>
      </c>
      <c r="C652" s="1540"/>
      <c r="D652" s="1540"/>
      <c r="E652" s="1540"/>
      <c r="F652" s="1540"/>
      <c r="G652" s="1540"/>
      <c r="H652" s="1540"/>
      <c r="I652" s="1540"/>
      <c r="J652" s="1540"/>
      <c r="K652" s="1541"/>
      <c r="L652" s="1190">
        <f>'4.NERACA'!I10</f>
        <v>0</v>
      </c>
      <c r="M652" s="1191"/>
      <c r="N652" s="1191"/>
      <c r="O652" s="1191"/>
      <c r="P652" s="1191"/>
      <c r="Q652" s="1357">
        <f>'4.NERACA'!D10</f>
        <v>5764737</v>
      </c>
      <c r="R652" s="1357"/>
      <c r="S652" s="1357"/>
      <c r="T652" s="1357"/>
      <c r="U652" s="1357"/>
      <c r="V652" s="52"/>
    </row>
    <row r="653" spans="1:22" s="141" customFormat="1" ht="15">
      <c r="A653" s="650"/>
      <c r="B653" s="1686" t="s">
        <v>10</v>
      </c>
      <c r="C653" s="1687"/>
      <c r="D653" s="1687"/>
      <c r="E653" s="1687"/>
      <c r="F653" s="1687"/>
      <c r="G653" s="1687"/>
      <c r="H653" s="1687"/>
      <c r="I653" s="1687"/>
      <c r="J653" s="1687"/>
      <c r="K653" s="1688"/>
      <c r="L653" s="1206">
        <f>SUM(L651:P652)</f>
        <v>0</v>
      </c>
      <c r="M653" s="1207"/>
      <c r="N653" s="1207"/>
      <c r="O653" s="1207"/>
      <c r="P653" s="1207"/>
      <c r="Q653" s="1555">
        <f>SUM(Q651:U652)</f>
        <v>5764737</v>
      </c>
      <c r="R653" s="1555"/>
      <c r="S653" s="1555"/>
      <c r="T653" s="1555"/>
      <c r="U653" s="1555"/>
      <c r="V653" s="52"/>
    </row>
    <row r="654" spans="1:22" s="141" customFormat="1" ht="7.5" customHeight="1">
      <c r="A654" s="650"/>
      <c r="B654" s="52"/>
      <c r="C654" s="52"/>
      <c r="D654" s="692"/>
      <c r="E654" s="37"/>
      <c r="F654" s="37"/>
      <c r="G654" s="37"/>
      <c r="H654" s="37"/>
      <c r="I654" s="37"/>
      <c r="J654" s="37"/>
      <c r="K654" s="37"/>
      <c r="L654" s="37"/>
      <c r="M654" s="37"/>
      <c r="N654" s="37"/>
      <c r="O654" s="37"/>
      <c r="P654" s="37"/>
      <c r="Q654" s="37"/>
      <c r="R654" s="37"/>
      <c r="S654" s="37"/>
      <c r="T654" s="654"/>
      <c r="U654" s="654"/>
      <c r="V654" s="52"/>
    </row>
    <row r="655" spans="1:22" s="141" customFormat="1" ht="16.5" customHeight="1">
      <c r="A655" s="650"/>
      <c r="B655" s="647"/>
      <c r="C655" s="746" t="s">
        <v>781</v>
      </c>
      <c r="D655" s="1089" t="s">
        <v>404</v>
      </c>
      <c r="E655" s="1089"/>
      <c r="F655" s="1089"/>
      <c r="G655" s="1089"/>
      <c r="H655" s="1089"/>
      <c r="I655" s="1089"/>
      <c r="J655" s="1089"/>
      <c r="K655" s="1089"/>
      <c r="L655" s="1089"/>
      <c r="M655" s="1089"/>
      <c r="N655" s="1089"/>
      <c r="O655" s="1089"/>
      <c r="P655" s="1089"/>
      <c r="Q655" s="1089"/>
      <c r="R655" s="1089"/>
      <c r="S655" s="1089"/>
      <c r="T655" s="1089"/>
      <c r="U655" s="1089"/>
      <c r="V655" s="52"/>
    </row>
    <row r="656" spans="1:22" s="141" customFormat="1" ht="15">
      <c r="A656" s="650"/>
      <c r="C656" s="38"/>
      <c r="D656" s="1091" t="s">
        <v>1575</v>
      </c>
      <c r="E656" s="1091"/>
      <c r="F656" s="1091"/>
      <c r="G656" s="1091"/>
      <c r="H656" s="1091"/>
      <c r="I656" s="1091"/>
      <c r="J656" s="1091"/>
      <c r="K656" s="1091"/>
      <c r="L656" s="1091"/>
      <c r="M656" s="1091"/>
      <c r="N656" s="1091"/>
      <c r="O656" s="1091"/>
      <c r="P656" s="1091"/>
      <c r="Q656" s="1091"/>
      <c r="R656" s="1091"/>
      <c r="S656" s="1091"/>
      <c r="T656" s="1091"/>
      <c r="U656" s="1091"/>
      <c r="V656" s="52"/>
    </row>
    <row r="657" spans="1:22" s="141" customFormat="1" ht="16.5" customHeight="1" hidden="1">
      <c r="A657" s="650"/>
      <c r="B657" s="1509"/>
      <c r="C657" s="1509"/>
      <c r="D657" s="1509"/>
      <c r="E657" s="1509"/>
      <c r="F657" s="1509"/>
      <c r="G657" s="1509"/>
      <c r="H657" s="1509"/>
      <c r="I657" s="1509"/>
      <c r="J657" s="1509"/>
      <c r="K657" s="1509"/>
      <c r="L657" s="1509"/>
      <c r="M657" s="1509"/>
      <c r="N657" s="1509"/>
      <c r="O657" s="1509"/>
      <c r="P657" s="1509"/>
      <c r="Q657" s="1509"/>
      <c r="R657" s="1509"/>
      <c r="S657" s="1509"/>
      <c r="T657" s="1509"/>
      <c r="U657" s="1509"/>
      <c r="V657" s="52"/>
    </row>
    <row r="658" spans="1:22" s="141" customFormat="1" ht="22.5" customHeight="1" hidden="1">
      <c r="A658" s="650"/>
      <c r="B658" s="1720"/>
      <c r="C658" s="1720"/>
      <c r="D658" s="1720"/>
      <c r="E658" s="1720"/>
      <c r="F658" s="1720"/>
      <c r="G658" s="1720"/>
      <c r="H658" s="1720"/>
      <c r="I658" s="1720"/>
      <c r="J658" s="1694"/>
      <c r="K658" s="1694"/>
      <c r="L658" s="1694"/>
      <c r="M658" s="1694"/>
      <c r="N658" s="1694"/>
      <c r="O658" s="1696"/>
      <c r="P658" s="1696"/>
      <c r="Q658" s="1696"/>
      <c r="R658" s="1696"/>
      <c r="S658" s="1696"/>
      <c r="T658" s="1677"/>
      <c r="U658" s="1677"/>
      <c r="V658" s="52"/>
    </row>
    <row r="659" spans="1:22" s="141" customFormat="1" ht="16.5" customHeight="1" hidden="1">
      <c r="A659" s="1678"/>
      <c r="B659" s="1167"/>
      <c r="C659" s="1167"/>
      <c r="D659" s="1167"/>
      <c r="E659" s="1167"/>
      <c r="F659" s="1167"/>
      <c r="G659" s="1167"/>
      <c r="H659" s="1167"/>
      <c r="I659" s="1167"/>
      <c r="J659" s="1695"/>
      <c r="K659" s="1695"/>
      <c r="L659" s="1695"/>
      <c r="M659" s="1695"/>
      <c r="N659" s="1695"/>
      <c r="O659" s="1695"/>
      <c r="P659" s="1695"/>
      <c r="Q659" s="1695"/>
      <c r="R659" s="1695"/>
      <c r="S659" s="1695"/>
      <c r="T659" s="1692"/>
      <c r="U659" s="1692"/>
      <c r="V659" s="52"/>
    </row>
    <row r="660" spans="1:22" s="141" customFormat="1" ht="16.5" customHeight="1" hidden="1">
      <c r="A660" s="1678"/>
      <c r="B660" s="1422"/>
      <c r="C660" s="1422"/>
      <c r="D660" s="1422"/>
      <c r="E660" s="1422"/>
      <c r="F660" s="1422"/>
      <c r="G660" s="1422"/>
      <c r="H660" s="1422"/>
      <c r="I660" s="1422"/>
      <c r="J660" s="1695"/>
      <c r="K660" s="1695"/>
      <c r="L660" s="1695"/>
      <c r="M660" s="1695"/>
      <c r="N660" s="1695"/>
      <c r="O660" s="1695"/>
      <c r="P660" s="1695"/>
      <c r="Q660" s="1695"/>
      <c r="R660" s="1695"/>
      <c r="S660" s="1695"/>
      <c r="T660" s="1692"/>
      <c r="U660" s="1692"/>
      <c r="V660" s="52"/>
    </row>
    <row r="661" spans="1:22" s="141" customFormat="1" ht="22.5" customHeight="1" hidden="1">
      <c r="A661" s="650"/>
      <c r="B661" s="1720"/>
      <c r="C661" s="1720"/>
      <c r="D661" s="1720"/>
      <c r="E661" s="1720"/>
      <c r="F661" s="1720"/>
      <c r="G661" s="1720"/>
      <c r="H661" s="1720"/>
      <c r="I661" s="1720"/>
      <c r="J661" s="1728"/>
      <c r="K661" s="1728"/>
      <c r="L661" s="1728"/>
      <c r="M661" s="1728"/>
      <c r="N661" s="1728"/>
      <c r="O661" s="1728"/>
      <c r="P661" s="1728"/>
      <c r="Q661" s="1728"/>
      <c r="R661" s="1728"/>
      <c r="S661" s="1728"/>
      <c r="T661" s="1692"/>
      <c r="U661" s="1692"/>
      <c r="V661" s="52"/>
    </row>
    <row r="662" spans="1:22" s="141" customFormat="1" ht="15.75" customHeight="1">
      <c r="A662" s="650"/>
      <c r="B662" s="52"/>
      <c r="C662" s="1089" t="s">
        <v>1226</v>
      </c>
      <c r="D662" s="1090"/>
      <c r="E662" s="1090"/>
      <c r="F662" s="1090"/>
      <c r="G662" s="1090"/>
      <c r="H662" s="1090"/>
      <c r="I662" s="1090"/>
      <c r="J662" s="1090"/>
      <c r="K662" s="1090"/>
      <c r="L662" s="1090"/>
      <c r="M662" s="1090"/>
      <c r="N662" s="1090"/>
      <c r="O662" s="1090"/>
      <c r="P662" s="1090"/>
      <c r="Q662" s="1090"/>
      <c r="R662" s="1090"/>
      <c r="S662" s="1090"/>
      <c r="T662" s="1090"/>
      <c r="U662" s="1090"/>
      <c r="V662" s="52"/>
    </row>
    <row r="663" spans="1:22" s="141" customFormat="1" ht="16.5" customHeight="1">
      <c r="A663" s="650"/>
      <c r="B663" s="647"/>
      <c r="C663" s="1089" t="s">
        <v>1544</v>
      </c>
      <c r="D663" s="1090"/>
      <c r="E663" s="1090"/>
      <c r="F663" s="1090"/>
      <c r="G663" s="1090"/>
      <c r="H663" s="1090"/>
      <c r="I663" s="1090"/>
      <c r="J663" s="1090"/>
      <c r="K663" s="1090"/>
      <c r="L663" s="1090"/>
      <c r="M663" s="1090"/>
      <c r="N663" s="1090"/>
      <c r="O663" s="1090"/>
      <c r="P663" s="1090"/>
      <c r="Q663" s="1090"/>
      <c r="R663" s="1090"/>
      <c r="S663" s="1090"/>
      <c r="T663" s="1090"/>
      <c r="U663" s="1090"/>
      <c r="V663" s="52"/>
    </row>
    <row r="664" spans="1:22" s="141" customFormat="1" ht="45.75" customHeight="1">
      <c r="A664" s="650"/>
      <c r="C664" s="1337" t="str">
        <f>"Saldo  Piutang Pendapatan per tanggal "&amp;'2.ISIAN DATA SKPD'!D8&amp;" dan "&amp;'2.ISIAN DATA SKPD'!D12&amp;"  masing-masing adalah sebesar Rp. 0 dan 0 atau mengalami kenaikan/penurunan sebesar 0 %."</f>
        <v>Saldo  Piutang Pendapatan per tanggal 31 Desember 2017 dan 2016  masing-masing adalah sebesar Rp. 0 dan 0 atau mengalami kenaikan/penurunan sebesar 0 %.</v>
      </c>
      <c r="D664" s="1337"/>
      <c r="E664" s="1337"/>
      <c r="F664" s="1337"/>
      <c r="G664" s="1337"/>
      <c r="H664" s="1337"/>
      <c r="I664" s="1337"/>
      <c r="J664" s="1337"/>
      <c r="K664" s="1337"/>
      <c r="L664" s="1337"/>
      <c r="M664" s="1337"/>
      <c r="N664" s="1337"/>
      <c r="O664" s="1337"/>
      <c r="P664" s="1337"/>
      <c r="Q664" s="1337"/>
      <c r="R664" s="1337"/>
      <c r="S664" s="1337"/>
      <c r="T664" s="1337"/>
      <c r="U664" s="1337"/>
      <c r="V664" s="52"/>
    </row>
    <row r="665" spans="1:22" s="141" customFormat="1" ht="58.5" customHeight="1">
      <c r="A665" s="650"/>
      <c r="C665" s="1091" t="s">
        <v>405</v>
      </c>
      <c r="D665" s="1091"/>
      <c r="E665" s="1091"/>
      <c r="F665" s="1091"/>
      <c r="G665" s="1091"/>
      <c r="H665" s="1091"/>
      <c r="I665" s="1091"/>
      <c r="J665" s="1091"/>
      <c r="K665" s="1091"/>
      <c r="L665" s="1091"/>
      <c r="M665" s="1091"/>
      <c r="N665" s="1091"/>
      <c r="O665" s="1091"/>
      <c r="P665" s="1091"/>
      <c r="Q665" s="1091"/>
      <c r="R665" s="1091"/>
      <c r="S665" s="1091"/>
      <c r="T665" s="1091"/>
      <c r="U665" s="1091"/>
      <c r="V665" s="52"/>
    </row>
    <row r="666" spans="1:22" s="141" customFormat="1" ht="1.5" customHeight="1">
      <c r="A666" s="650"/>
      <c r="C666" s="702"/>
      <c r="D666" s="702"/>
      <c r="E666" s="702"/>
      <c r="F666" s="702"/>
      <c r="G666" s="702"/>
      <c r="H666" s="702"/>
      <c r="I666" s="702"/>
      <c r="J666" s="702"/>
      <c r="K666" s="702"/>
      <c r="L666" s="702"/>
      <c r="M666" s="702"/>
      <c r="N666" s="702"/>
      <c r="O666" s="702"/>
      <c r="P666" s="702"/>
      <c r="Q666" s="702"/>
      <c r="R666" s="702"/>
      <c r="S666" s="702"/>
      <c r="T666" s="702"/>
      <c r="U666" s="702"/>
      <c r="V666" s="52"/>
    </row>
    <row r="667" spans="1:22" s="141" customFormat="1" ht="12.75" customHeight="1">
      <c r="A667" s="650"/>
      <c r="B667" s="1088" t="s">
        <v>406</v>
      </c>
      <c r="C667" s="1088"/>
      <c r="D667" s="1088"/>
      <c r="E667" s="1088"/>
      <c r="F667" s="1088"/>
      <c r="G667" s="1088"/>
      <c r="H667" s="1088"/>
      <c r="I667" s="1088"/>
      <c r="J667" s="1088"/>
      <c r="K667" s="1088"/>
      <c r="L667" s="1088"/>
      <c r="M667" s="1088"/>
      <c r="N667" s="1088"/>
      <c r="O667" s="1088"/>
      <c r="P667" s="1088"/>
      <c r="Q667" s="1088"/>
      <c r="R667" s="1088"/>
      <c r="S667" s="1088"/>
      <c r="T667" s="1088"/>
      <c r="U667" s="1088"/>
      <c r="V667" s="52"/>
    </row>
    <row r="668" spans="1:22" s="141" customFormat="1" ht="15.75" customHeight="1">
      <c r="A668" s="650"/>
      <c r="B668" s="1535" t="s">
        <v>28</v>
      </c>
      <c r="C668" s="1536"/>
      <c r="D668" s="1536"/>
      <c r="E668" s="1536"/>
      <c r="F668" s="1536"/>
      <c r="G668" s="1536"/>
      <c r="H668" s="1536"/>
      <c r="I668" s="1537"/>
      <c r="J668" s="1187">
        <v>2017</v>
      </c>
      <c r="K668" s="1188"/>
      <c r="L668" s="1188"/>
      <c r="M668" s="1188"/>
      <c r="N668" s="1189"/>
      <c r="O668" s="1126">
        <v>2016</v>
      </c>
      <c r="P668" s="1127"/>
      <c r="Q668" s="1127"/>
      <c r="R668" s="1127"/>
      <c r="S668" s="1128"/>
      <c r="T668" s="1538" t="s">
        <v>1248</v>
      </c>
      <c r="U668" s="1538"/>
      <c r="V668" s="52"/>
    </row>
    <row r="669" spans="1:22" s="141" customFormat="1" ht="14.25" customHeight="1">
      <c r="A669" s="650"/>
      <c r="B669" s="1093" t="str">
        <f>'4.NERACA'!C23</f>
        <v>Piutang Pajak</v>
      </c>
      <c r="C669" s="1094"/>
      <c r="D669" s="1094"/>
      <c r="E669" s="1094"/>
      <c r="F669" s="1094"/>
      <c r="G669" s="1094"/>
      <c r="H669" s="1094"/>
      <c r="I669" s="1095"/>
      <c r="J669" s="1190">
        <f>'4.NERACA'!I23</f>
        <v>0</v>
      </c>
      <c r="K669" s="1191"/>
      <c r="L669" s="1191"/>
      <c r="M669" s="1191"/>
      <c r="N669" s="1191"/>
      <c r="O669" s="1190">
        <f>'4.NERACA'!D23</f>
        <v>0</v>
      </c>
      <c r="P669" s="1191"/>
      <c r="Q669" s="1191"/>
      <c r="R669" s="1191"/>
      <c r="S669" s="1191"/>
      <c r="T669" s="1224">
        <v>0</v>
      </c>
      <c r="U669" s="1225"/>
      <c r="V669" s="52"/>
    </row>
    <row r="670" spans="1:22" s="141" customFormat="1" ht="14.25" customHeight="1">
      <c r="A670" s="650"/>
      <c r="B670" s="1093" t="str">
        <f>'4.NERACA'!C24</f>
        <v>Piutang Retribusi</v>
      </c>
      <c r="C670" s="1094"/>
      <c r="D670" s="1094"/>
      <c r="E670" s="1094"/>
      <c r="F670" s="1094"/>
      <c r="G670" s="1094"/>
      <c r="H670" s="1094"/>
      <c r="I670" s="1095"/>
      <c r="J670" s="1190">
        <f>'4.NERACA'!I24</f>
        <v>0</v>
      </c>
      <c r="K670" s="1191"/>
      <c r="L670" s="1191"/>
      <c r="M670" s="1191"/>
      <c r="N670" s="1191"/>
      <c r="O670" s="1190">
        <f>'4.NERACA'!D24</f>
        <v>0</v>
      </c>
      <c r="P670" s="1191"/>
      <c r="Q670" s="1191"/>
      <c r="R670" s="1191"/>
      <c r="S670" s="1191"/>
      <c r="T670" s="1224">
        <v>0</v>
      </c>
      <c r="U670" s="1225"/>
      <c r="V670" s="52"/>
    </row>
    <row r="671" spans="1:22" s="141" customFormat="1" ht="29.25" customHeight="1">
      <c r="A671" s="650"/>
      <c r="B671" s="1093" t="str">
        <f>'4.NERACA'!C25</f>
        <v>Piutang Hasil Pengelolaan Kekayaan Daerah yang Dipisahkan</v>
      </c>
      <c r="C671" s="1094"/>
      <c r="D671" s="1094"/>
      <c r="E671" s="1094"/>
      <c r="F671" s="1094"/>
      <c r="G671" s="1094"/>
      <c r="H671" s="1094"/>
      <c r="I671" s="1095"/>
      <c r="J671" s="1190">
        <f>'4.NERACA'!I25</f>
        <v>0</v>
      </c>
      <c r="K671" s="1191"/>
      <c r="L671" s="1191"/>
      <c r="M671" s="1191"/>
      <c r="N671" s="1191"/>
      <c r="O671" s="1190">
        <f>'4.NERACA'!D25</f>
        <v>0</v>
      </c>
      <c r="P671" s="1191"/>
      <c r="Q671" s="1191"/>
      <c r="R671" s="1191"/>
      <c r="S671" s="1191"/>
      <c r="T671" s="1224">
        <v>0</v>
      </c>
      <c r="U671" s="1225"/>
      <c r="V671" s="52"/>
    </row>
    <row r="672" spans="1:22" s="141" customFormat="1" ht="15">
      <c r="A672" s="650"/>
      <c r="B672" s="1221" t="str">
        <f>'4.NERACA'!C26</f>
        <v>Piutang Lain-lain PAD yang Sah</v>
      </c>
      <c r="C672" s="1222"/>
      <c r="D672" s="1222"/>
      <c r="E672" s="1222"/>
      <c r="F672" s="1222"/>
      <c r="G672" s="1222"/>
      <c r="H672" s="1222"/>
      <c r="I672" s="1223"/>
      <c r="J672" s="1190">
        <f>'4.NERACA'!I26</f>
        <v>0</v>
      </c>
      <c r="K672" s="1191"/>
      <c r="L672" s="1191"/>
      <c r="M672" s="1191"/>
      <c r="N672" s="1191"/>
      <c r="O672" s="1190">
        <f>'4.NERACA'!D26</f>
        <v>0</v>
      </c>
      <c r="P672" s="1191"/>
      <c r="Q672" s="1191"/>
      <c r="R672" s="1191"/>
      <c r="S672" s="1191"/>
      <c r="T672" s="1224">
        <v>0</v>
      </c>
      <c r="U672" s="1225"/>
      <c r="V672" s="52"/>
    </row>
    <row r="673" spans="1:22" s="141" customFormat="1" ht="14.25" customHeight="1">
      <c r="A673" s="650"/>
      <c r="B673" s="1093" t="str">
        <f>'4.NERACA'!C27</f>
        <v>Piutang Pendapatan Lainnya</v>
      </c>
      <c r="C673" s="1094"/>
      <c r="D673" s="1094"/>
      <c r="E673" s="1094"/>
      <c r="F673" s="1094"/>
      <c r="G673" s="1094"/>
      <c r="H673" s="1094"/>
      <c r="I673" s="1095"/>
      <c r="J673" s="1190">
        <f>'4.NERACA'!I27</f>
        <v>0</v>
      </c>
      <c r="K673" s="1191"/>
      <c r="L673" s="1191"/>
      <c r="M673" s="1191"/>
      <c r="N673" s="1191"/>
      <c r="O673" s="1190">
        <f>'4.NERACA'!D27</f>
        <v>0</v>
      </c>
      <c r="P673" s="1191"/>
      <c r="Q673" s="1191"/>
      <c r="R673" s="1191"/>
      <c r="S673" s="1191"/>
      <c r="T673" s="1224">
        <v>0</v>
      </c>
      <c r="U673" s="1225"/>
      <c r="V673" s="52"/>
    </row>
    <row r="674" spans="1:22" s="141" customFormat="1" ht="12.75" customHeight="1">
      <c r="A674" s="650"/>
      <c r="B674" s="1535" t="s">
        <v>10</v>
      </c>
      <c r="C674" s="1536"/>
      <c r="D674" s="1536"/>
      <c r="E674" s="1536"/>
      <c r="F674" s="1536"/>
      <c r="G674" s="1536"/>
      <c r="H674" s="1536"/>
      <c r="I674" s="1537"/>
      <c r="J674" s="1206">
        <f>SUM(J669:N673)</f>
        <v>0</v>
      </c>
      <c r="K674" s="1207"/>
      <c r="L674" s="1207"/>
      <c r="M674" s="1207"/>
      <c r="N674" s="1207"/>
      <c r="O674" s="1206">
        <f>SUM(O669:S673)</f>
        <v>0</v>
      </c>
      <c r="P674" s="1207"/>
      <c r="Q674" s="1207"/>
      <c r="R674" s="1207"/>
      <c r="S674" s="1207"/>
      <c r="T674" s="1224">
        <v>0</v>
      </c>
      <c r="U674" s="1225"/>
      <c r="V674" s="52"/>
    </row>
    <row r="675" spans="1:22" s="141" customFormat="1" ht="14.25" customHeight="1">
      <c r="A675" s="650"/>
      <c r="B675" s="9"/>
      <c r="C675" s="9"/>
      <c r="D675" s="9"/>
      <c r="E675" s="9"/>
      <c r="F675" s="9"/>
      <c r="G675" s="9"/>
      <c r="H675" s="9"/>
      <c r="I675" s="9"/>
      <c r="J675" s="9"/>
      <c r="K675" s="9"/>
      <c r="L675" s="5"/>
      <c r="M675" s="5"/>
      <c r="N675" s="5"/>
      <c r="O675" s="5"/>
      <c r="P675" s="5"/>
      <c r="Q675" s="5"/>
      <c r="R675" s="5"/>
      <c r="S675" s="5"/>
      <c r="T675" s="5"/>
      <c r="U675" s="5"/>
      <c r="V675" s="52"/>
    </row>
    <row r="676" spans="1:22" s="141" customFormat="1" ht="17.25" customHeight="1">
      <c r="A676" s="650"/>
      <c r="C676" s="1091" t="s">
        <v>410</v>
      </c>
      <c r="D676" s="1091"/>
      <c r="E676" s="1091"/>
      <c r="F676" s="1091"/>
      <c r="G676" s="1091"/>
      <c r="H676" s="1091"/>
      <c r="I676" s="1091"/>
      <c r="J676" s="1091"/>
      <c r="K676" s="1091"/>
      <c r="L676" s="1091"/>
      <c r="M676" s="1091"/>
      <c r="N676" s="1091"/>
      <c r="O676" s="1091"/>
      <c r="P676" s="1091"/>
      <c r="Q676" s="1091"/>
      <c r="R676" s="1091"/>
      <c r="S676" s="1091"/>
      <c r="T676" s="1091"/>
      <c r="U676" s="1091"/>
      <c r="V676" s="52"/>
    </row>
    <row r="677" spans="1:22" s="141" customFormat="1" ht="15.75" customHeight="1">
      <c r="A677" s="650"/>
      <c r="B677" s="9"/>
      <c r="C677" s="111" t="s">
        <v>7</v>
      </c>
      <c r="D677" s="1435" t="s">
        <v>407</v>
      </c>
      <c r="E677" s="1435"/>
      <c r="F677" s="1435"/>
      <c r="G677" s="1435"/>
      <c r="H677" s="1435"/>
      <c r="I677" s="1435"/>
      <c r="J677" s="1435"/>
      <c r="K677" s="1435"/>
      <c r="L677" s="1435"/>
      <c r="M677" s="1435"/>
      <c r="N677" s="1435"/>
      <c r="O677" s="1435"/>
      <c r="P677" s="1435"/>
      <c r="Q677" s="1435"/>
      <c r="R677" s="1435"/>
      <c r="S677" s="1435"/>
      <c r="T677" s="1435"/>
      <c r="U677" s="1435"/>
      <c r="V677" s="52"/>
    </row>
    <row r="678" spans="1:22" s="141" customFormat="1" ht="77.25" customHeight="1">
      <c r="A678" s="650"/>
      <c r="C678" s="12"/>
      <c r="D678" s="1091" t="str">
        <f>"Piutang Pajak Daerah per "&amp;'2.ISIAN DATA SKPD'!D8&amp;" sebesar Rp. "&amp;FIXED(R688)&amp;" adalah hak Pemerintah daerah atas pendapatan pajak tahun berkenaan, yang sudah diterbitkan Surat Ketetapan Pajak Daerah (SKPD) Namun sampai tanggal  belum dibayar oleh Wajib Pajak bersangkutan  dengan rincian mutasi sebagai berikut :"</f>
        <v>Piutang Pajak Daerah per 31 Desember 2017 sebesar Rp. 0.00 adalah hak Pemerintah daerah atas pendapatan pajak tahun berkenaan, yang sudah diterbitkan Surat Ketetapan Pajak Daerah (SKPD) Namun sampai tanggal  belum dibayar oleh Wajib Pajak bersangkutan  dengan rincian mutasi sebagai berikut :</v>
      </c>
      <c r="E678" s="1091"/>
      <c r="F678" s="1091"/>
      <c r="G678" s="1091"/>
      <c r="H678" s="1091"/>
      <c r="I678" s="1091"/>
      <c r="J678" s="1091"/>
      <c r="K678" s="1091"/>
      <c r="L678" s="1091"/>
      <c r="M678" s="1091"/>
      <c r="N678" s="1091"/>
      <c r="O678" s="1091"/>
      <c r="P678" s="1091"/>
      <c r="Q678" s="1091"/>
      <c r="R678" s="1091"/>
      <c r="S678" s="1091"/>
      <c r="T678" s="1091"/>
      <c r="U678" s="1091"/>
      <c r="V678" s="52"/>
    </row>
    <row r="679" spans="1:22" s="141" customFormat="1" ht="16.5" customHeight="1">
      <c r="A679" s="650"/>
      <c r="B679" s="1183" t="s">
        <v>46</v>
      </c>
      <c r="C679" s="1227" t="s">
        <v>256</v>
      </c>
      <c r="D679" s="1228"/>
      <c r="E679" s="1229"/>
      <c r="F679" s="1164" t="s">
        <v>411</v>
      </c>
      <c r="G679" s="1165"/>
      <c r="H679" s="1165"/>
      <c r="I679" s="1166"/>
      <c r="J679" s="1198" t="str">
        <f>"MUTASI  TA "&amp;'2.ISIAN DATA SKPD'!D11&amp;""</f>
        <v>MUTASI  TA 2017</v>
      </c>
      <c r="K679" s="1199"/>
      <c r="L679" s="1199"/>
      <c r="M679" s="1199"/>
      <c r="N679" s="1199"/>
      <c r="O679" s="1199"/>
      <c r="P679" s="1199"/>
      <c r="Q679" s="1200"/>
      <c r="R679" s="1164" t="s">
        <v>412</v>
      </c>
      <c r="S679" s="1165"/>
      <c r="T679" s="1165"/>
      <c r="U679" s="1166"/>
      <c r="V679" s="52"/>
    </row>
    <row r="680" spans="1:22" s="141" customFormat="1" ht="14.25" customHeight="1">
      <c r="A680" s="650"/>
      <c r="B680" s="1184"/>
      <c r="C680" s="1230"/>
      <c r="D680" s="1231"/>
      <c r="E680" s="1232"/>
      <c r="F680" s="1164">
        <f>'2.ISIAN DATA SKPD'!D12</f>
        <v>2016</v>
      </c>
      <c r="G680" s="1165"/>
      <c r="H680" s="1165"/>
      <c r="I680" s="1166"/>
      <c r="J680" s="1164" t="s">
        <v>413</v>
      </c>
      <c r="K680" s="1165"/>
      <c r="L680" s="1165"/>
      <c r="M680" s="1166"/>
      <c r="N680" s="1164" t="s">
        <v>433</v>
      </c>
      <c r="O680" s="1165"/>
      <c r="P680" s="1165"/>
      <c r="Q680" s="1166"/>
      <c r="R680" s="1164">
        <f>'2.ISIAN DATA SKPD'!D11</f>
        <v>2017</v>
      </c>
      <c r="S680" s="1165"/>
      <c r="T680" s="1165"/>
      <c r="U680" s="1166"/>
      <c r="V680" s="52"/>
    </row>
    <row r="681" spans="1:22" s="141" customFormat="1" ht="15.75" customHeight="1">
      <c r="A681" s="650"/>
      <c r="B681" s="748">
        <v>1</v>
      </c>
      <c r="C681" s="1532" t="s">
        <v>426</v>
      </c>
      <c r="D681" s="1533"/>
      <c r="E681" s="1534"/>
      <c r="F681" s="1185">
        <v>0</v>
      </c>
      <c r="G681" s="1186"/>
      <c r="H681" s="1186" t="s">
        <v>414</v>
      </c>
      <c r="I681" s="1186"/>
      <c r="J681" s="1185">
        <v>0</v>
      </c>
      <c r="K681" s="1186" t="s">
        <v>415</v>
      </c>
      <c r="L681" s="1186"/>
      <c r="M681" s="1186"/>
      <c r="N681" s="1185">
        <v>0</v>
      </c>
      <c r="O681" s="1186" t="s">
        <v>415</v>
      </c>
      <c r="P681" s="1186"/>
      <c r="Q681" s="1186"/>
      <c r="R681" s="1185">
        <f>F681+J681-N681:N681</f>
        <v>0</v>
      </c>
      <c r="S681" s="1186"/>
      <c r="T681" s="1186" t="s">
        <v>416</v>
      </c>
      <c r="U681" s="1420"/>
      <c r="V681" s="52"/>
    </row>
    <row r="682" spans="1:22" s="141" customFormat="1" ht="15.75" customHeight="1">
      <c r="A682" s="650"/>
      <c r="B682" s="748">
        <v>2</v>
      </c>
      <c r="C682" s="1532" t="s">
        <v>427</v>
      </c>
      <c r="D682" s="1533"/>
      <c r="E682" s="1534"/>
      <c r="F682" s="1185">
        <v>0</v>
      </c>
      <c r="G682" s="1186"/>
      <c r="H682" s="1186" t="s">
        <v>417</v>
      </c>
      <c r="I682" s="1186"/>
      <c r="J682" s="1185">
        <v>0</v>
      </c>
      <c r="K682" s="1186" t="s">
        <v>418</v>
      </c>
      <c r="L682" s="1186"/>
      <c r="M682" s="1186"/>
      <c r="N682" s="1185">
        <v>0</v>
      </c>
      <c r="O682" s="1186" t="s">
        <v>418</v>
      </c>
      <c r="P682" s="1186"/>
      <c r="Q682" s="1186"/>
      <c r="R682" s="1185">
        <f aca="true" t="shared" si="23" ref="R682:R688">F682+J682-N682:N682</f>
        <v>0</v>
      </c>
      <c r="S682" s="1186"/>
      <c r="T682" s="1186" t="s">
        <v>434</v>
      </c>
      <c r="U682" s="1420"/>
      <c r="V682" s="52"/>
    </row>
    <row r="683" spans="1:22" s="141" customFormat="1" ht="15.75" customHeight="1">
      <c r="A683" s="650"/>
      <c r="B683" s="748">
        <v>3</v>
      </c>
      <c r="C683" s="1532" t="s">
        <v>428</v>
      </c>
      <c r="D683" s="1533"/>
      <c r="E683" s="1534"/>
      <c r="F683" s="1185">
        <v>0</v>
      </c>
      <c r="G683" s="1186"/>
      <c r="H683" s="1186" t="s">
        <v>421</v>
      </c>
      <c r="I683" s="1186"/>
      <c r="J683" s="1185">
        <v>0</v>
      </c>
      <c r="K683" s="1186" t="s">
        <v>418</v>
      </c>
      <c r="L683" s="1186"/>
      <c r="M683" s="1186"/>
      <c r="N683" s="1185">
        <v>0</v>
      </c>
      <c r="O683" s="1186" t="s">
        <v>418</v>
      </c>
      <c r="P683" s="1186"/>
      <c r="Q683" s="1186"/>
      <c r="R683" s="1185">
        <f t="shared" si="23"/>
        <v>0</v>
      </c>
      <c r="S683" s="1186"/>
      <c r="T683" s="1186" t="s">
        <v>435</v>
      </c>
      <c r="U683" s="1420"/>
      <c r="V683" s="52"/>
    </row>
    <row r="684" spans="1:22" s="141" customFormat="1" ht="15.75" customHeight="1">
      <c r="A684" s="650"/>
      <c r="B684" s="748">
        <v>4</v>
      </c>
      <c r="C684" s="1532" t="s">
        <v>429</v>
      </c>
      <c r="D684" s="1533"/>
      <c r="E684" s="1534"/>
      <c r="F684" s="1185">
        <v>0</v>
      </c>
      <c r="G684" s="1186"/>
      <c r="H684" s="1186" t="s">
        <v>422</v>
      </c>
      <c r="I684" s="1186"/>
      <c r="J684" s="1185">
        <v>0</v>
      </c>
      <c r="K684" s="1186" t="s">
        <v>418</v>
      </c>
      <c r="L684" s="1186"/>
      <c r="M684" s="1186"/>
      <c r="N684" s="1185">
        <v>0</v>
      </c>
      <c r="O684" s="1186" t="s">
        <v>418</v>
      </c>
      <c r="P684" s="1186"/>
      <c r="Q684" s="1186"/>
      <c r="R684" s="1185">
        <f t="shared" si="23"/>
        <v>0</v>
      </c>
      <c r="S684" s="1186"/>
      <c r="T684" s="1186" t="s">
        <v>436</v>
      </c>
      <c r="U684" s="1420"/>
      <c r="V684" s="52"/>
    </row>
    <row r="685" spans="1:22" s="141" customFormat="1" ht="26.25" customHeight="1">
      <c r="A685" s="650"/>
      <c r="B685" s="748">
        <v>5</v>
      </c>
      <c r="C685" s="1526" t="s">
        <v>430</v>
      </c>
      <c r="D685" s="1527"/>
      <c r="E685" s="1528"/>
      <c r="F685" s="1185">
        <v>0</v>
      </c>
      <c r="G685" s="1186"/>
      <c r="H685" s="1186" t="s">
        <v>423</v>
      </c>
      <c r="I685" s="1186"/>
      <c r="J685" s="1185">
        <v>0</v>
      </c>
      <c r="K685" s="1186" t="s">
        <v>418</v>
      </c>
      <c r="L685" s="1186"/>
      <c r="M685" s="1186"/>
      <c r="N685" s="1185">
        <v>0</v>
      </c>
      <c r="O685" s="1186" t="s">
        <v>418</v>
      </c>
      <c r="P685" s="1186"/>
      <c r="Q685" s="1186"/>
      <c r="R685" s="1185">
        <f t="shared" si="23"/>
        <v>0</v>
      </c>
      <c r="S685" s="1186"/>
      <c r="T685" s="1186" t="s">
        <v>437</v>
      </c>
      <c r="U685" s="1420"/>
      <c r="V685" s="52"/>
    </row>
    <row r="686" spans="1:22" s="141" customFormat="1" ht="15.75" customHeight="1">
      <c r="A686" s="650"/>
      <c r="B686" s="748">
        <v>6</v>
      </c>
      <c r="C686" s="1532" t="s">
        <v>431</v>
      </c>
      <c r="D686" s="1533"/>
      <c r="E686" s="1534"/>
      <c r="F686" s="1185">
        <v>0</v>
      </c>
      <c r="G686" s="1186"/>
      <c r="H686" s="1186" t="s">
        <v>424</v>
      </c>
      <c r="I686" s="1186"/>
      <c r="J686" s="1185">
        <v>0</v>
      </c>
      <c r="K686" s="1186" t="s">
        <v>418</v>
      </c>
      <c r="L686" s="1186"/>
      <c r="M686" s="1186"/>
      <c r="N686" s="1185">
        <v>0</v>
      </c>
      <c r="O686" s="1186" t="s">
        <v>418</v>
      </c>
      <c r="P686" s="1186"/>
      <c r="Q686" s="1186"/>
      <c r="R686" s="1185">
        <f t="shared" si="23"/>
        <v>0</v>
      </c>
      <c r="S686" s="1186"/>
      <c r="T686" s="1186" t="s">
        <v>438</v>
      </c>
      <c r="U686" s="1420"/>
      <c r="V686" s="52"/>
    </row>
    <row r="687" spans="1:22" s="141" customFormat="1" ht="15.75" customHeight="1">
      <c r="A687" s="650"/>
      <c r="B687" s="748">
        <v>7</v>
      </c>
      <c r="C687" s="1529" t="s">
        <v>432</v>
      </c>
      <c r="D687" s="1530"/>
      <c r="E687" s="1531"/>
      <c r="F687" s="1185">
        <v>0</v>
      </c>
      <c r="G687" s="1186"/>
      <c r="H687" s="1186" t="s">
        <v>425</v>
      </c>
      <c r="I687" s="1186"/>
      <c r="J687" s="1185">
        <v>0</v>
      </c>
      <c r="K687" s="1186" t="s">
        <v>418</v>
      </c>
      <c r="L687" s="1186"/>
      <c r="M687" s="1186"/>
      <c r="N687" s="1185">
        <v>0</v>
      </c>
      <c r="O687" s="1186" t="s">
        <v>418</v>
      </c>
      <c r="P687" s="1186"/>
      <c r="Q687" s="1186"/>
      <c r="R687" s="1185">
        <f t="shared" si="23"/>
        <v>0</v>
      </c>
      <c r="S687" s="1186"/>
      <c r="T687" s="1186" t="s">
        <v>439</v>
      </c>
      <c r="U687" s="1420"/>
      <c r="V687" s="52"/>
    </row>
    <row r="688" spans="1:22" s="141" customFormat="1" ht="22.5" customHeight="1">
      <c r="A688" s="650"/>
      <c r="B688" s="1290" t="s">
        <v>10</v>
      </c>
      <c r="C688" s="1291"/>
      <c r="D688" s="1291"/>
      <c r="E688" s="1292"/>
      <c r="F688" s="1499">
        <f>SUM(F681:I687)</f>
        <v>0</v>
      </c>
      <c r="G688" s="1500"/>
      <c r="H688" s="1500" t="s">
        <v>424</v>
      </c>
      <c r="I688" s="1500"/>
      <c r="J688" s="1499">
        <f>SUM(J681:M687)</f>
        <v>0</v>
      </c>
      <c r="K688" s="1500"/>
      <c r="L688" s="1500" t="s">
        <v>424</v>
      </c>
      <c r="M688" s="1500"/>
      <c r="N688" s="1499">
        <f>SUM(N681:Q687)</f>
        <v>0</v>
      </c>
      <c r="O688" s="1500"/>
      <c r="P688" s="1500" t="s">
        <v>424</v>
      </c>
      <c r="Q688" s="1500"/>
      <c r="R688" s="1499">
        <f t="shared" si="23"/>
        <v>0</v>
      </c>
      <c r="S688" s="1500"/>
      <c r="T688" s="1500" t="s">
        <v>440</v>
      </c>
      <c r="U688" s="1501"/>
      <c r="V688" s="52"/>
    </row>
    <row r="689" spans="1:22" s="141" customFormat="1" ht="15">
      <c r="A689" s="650"/>
      <c r="B689" s="126"/>
      <c r="C689" s="126"/>
      <c r="D689" s="126"/>
      <c r="E689" s="126"/>
      <c r="F689" s="91"/>
      <c r="G689" s="91"/>
      <c r="H689" s="91"/>
      <c r="I689" s="91"/>
      <c r="J689" s="91"/>
      <c r="K689" s="91"/>
      <c r="L689" s="91"/>
      <c r="M689" s="91"/>
      <c r="N689" s="91"/>
      <c r="O689" s="91"/>
      <c r="P689" s="91"/>
      <c r="Q689" s="91"/>
      <c r="R689" s="127"/>
      <c r="S689" s="127"/>
      <c r="T689" s="127"/>
      <c r="U689" s="127"/>
      <c r="V689" s="52"/>
    </row>
    <row r="690" spans="1:22" s="141" customFormat="1" ht="17.25" customHeight="1">
      <c r="A690" s="650"/>
      <c r="B690" s="9"/>
      <c r="C690" s="111" t="s">
        <v>8</v>
      </c>
      <c r="D690" s="1435" t="s">
        <v>408</v>
      </c>
      <c r="E690" s="1435"/>
      <c r="F690" s="1435"/>
      <c r="G690" s="1435"/>
      <c r="H690" s="1435"/>
      <c r="I690" s="1435"/>
      <c r="J690" s="1435"/>
      <c r="K690" s="1435"/>
      <c r="L690" s="1435"/>
      <c r="M690" s="1435"/>
      <c r="N690" s="1435"/>
      <c r="O690" s="1435"/>
      <c r="P690" s="1435"/>
      <c r="Q690" s="1435"/>
      <c r="R690" s="1435"/>
      <c r="S690" s="1435"/>
      <c r="T690" s="1435"/>
      <c r="U690" s="1435"/>
      <c r="V690" s="52"/>
    </row>
    <row r="691" spans="1:22" s="141" customFormat="1" ht="79.5" customHeight="1">
      <c r="A691" s="650"/>
      <c r="C691" s="12"/>
      <c r="D691" s="1091" t="str">
        <f>"Piutang Retribusi per "&amp;'2.ISIAN DATA SKPD'!D8&amp;" sebesar Rp. "&amp;FIXED(R696)&amp;" adalah hak Pemerintah daerah atas pendapatan retribusi tahun berkenaan, yang sudah diterbitkan Surat Ketetapan namun sampai tanggal  belum dibayar oleh pihak yang menikmati pelayanan,  dengan rincian mutasi sebagai berikut :"</f>
        <v>Piutang Retribusi per 31 Desember 2017 sebesar Rp. 0.00 adalah hak Pemerintah daerah atas pendapatan retribusi tahun berkenaan, yang sudah diterbitkan Surat Ketetapan namun sampai tanggal  belum dibayar oleh pihak yang menikmati pelayanan,  dengan rincian mutasi sebagai berikut :</v>
      </c>
      <c r="E691" s="1091"/>
      <c r="F691" s="1091"/>
      <c r="G691" s="1091"/>
      <c r="H691" s="1091"/>
      <c r="I691" s="1091"/>
      <c r="J691" s="1091"/>
      <c r="K691" s="1091"/>
      <c r="L691" s="1091"/>
      <c r="M691" s="1091"/>
      <c r="N691" s="1091"/>
      <c r="O691" s="1091"/>
      <c r="P691" s="1091"/>
      <c r="Q691" s="1091"/>
      <c r="R691" s="1091"/>
      <c r="S691" s="1091"/>
      <c r="T691" s="1091"/>
      <c r="U691" s="1091"/>
      <c r="V691" s="52"/>
    </row>
    <row r="692" spans="1:22" s="141" customFormat="1" ht="15">
      <c r="A692" s="650"/>
      <c r="C692" s="749"/>
      <c r="D692" s="833"/>
      <c r="E692" s="833"/>
      <c r="F692" s="833"/>
      <c r="G692" s="833"/>
      <c r="H692" s="833"/>
      <c r="I692" s="833"/>
      <c r="J692" s="833"/>
      <c r="K692" s="833"/>
      <c r="L692" s="833"/>
      <c r="M692" s="833"/>
      <c r="N692" s="833"/>
      <c r="O692" s="833"/>
      <c r="P692" s="833"/>
      <c r="Q692" s="833"/>
      <c r="R692" s="833"/>
      <c r="S692" s="833"/>
      <c r="T692" s="833"/>
      <c r="U692" s="833"/>
      <c r="V692" s="52"/>
    </row>
    <row r="693" spans="1:22" s="141" customFormat="1" ht="15">
      <c r="A693" s="650"/>
      <c r="B693" s="1183" t="s">
        <v>46</v>
      </c>
      <c r="C693" s="1227" t="s">
        <v>256</v>
      </c>
      <c r="D693" s="1228"/>
      <c r="E693" s="1229"/>
      <c r="F693" s="1164" t="s">
        <v>411</v>
      </c>
      <c r="G693" s="1165"/>
      <c r="H693" s="1165"/>
      <c r="I693" s="1166"/>
      <c r="J693" s="1198" t="str">
        <f>J679</f>
        <v>MUTASI  TA 2017</v>
      </c>
      <c r="K693" s="1199"/>
      <c r="L693" s="1199"/>
      <c r="M693" s="1199"/>
      <c r="N693" s="1199"/>
      <c r="O693" s="1199"/>
      <c r="P693" s="1199"/>
      <c r="Q693" s="1200"/>
      <c r="R693" s="1164" t="s">
        <v>412</v>
      </c>
      <c r="S693" s="1165"/>
      <c r="T693" s="1165"/>
      <c r="U693" s="1166"/>
      <c r="V693" s="52"/>
    </row>
    <row r="694" spans="1:22" s="141" customFormat="1" ht="15">
      <c r="A694" s="650"/>
      <c r="B694" s="1184"/>
      <c r="C694" s="1230"/>
      <c r="D694" s="1231"/>
      <c r="E694" s="1232"/>
      <c r="F694" s="1164">
        <f>F680</f>
        <v>2016</v>
      </c>
      <c r="G694" s="1165"/>
      <c r="H694" s="1165"/>
      <c r="I694" s="1166"/>
      <c r="J694" s="1164" t="s">
        <v>413</v>
      </c>
      <c r="K694" s="1165"/>
      <c r="L694" s="1165"/>
      <c r="M694" s="1166"/>
      <c r="N694" s="1164" t="s">
        <v>433</v>
      </c>
      <c r="O694" s="1165"/>
      <c r="P694" s="1165"/>
      <c r="Q694" s="1166"/>
      <c r="R694" s="1164">
        <f>R680</f>
        <v>2017</v>
      </c>
      <c r="S694" s="1165"/>
      <c r="T694" s="1165"/>
      <c r="U694" s="1166"/>
      <c r="V694" s="52"/>
    </row>
    <row r="695" spans="1:22" s="141" customFormat="1" ht="15">
      <c r="A695" s="650"/>
      <c r="B695" s="750">
        <v>1</v>
      </c>
      <c r="C695" s="1496" t="s">
        <v>1575</v>
      </c>
      <c r="D695" s="1497"/>
      <c r="E695" s="1498"/>
      <c r="F695" s="1185">
        <v>0</v>
      </c>
      <c r="G695" s="1186"/>
      <c r="H695" s="1186" t="s">
        <v>414</v>
      </c>
      <c r="I695" s="1186"/>
      <c r="J695" s="1185">
        <v>0</v>
      </c>
      <c r="K695" s="1186" t="s">
        <v>415</v>
      </c>
      <c r="L695" s="1186"/>
      <c r="M695" s="1186"/>
      <c r="N695" s="1185">
        <v>0</v>
      </c>
      <c r="O695" s="1186" t="s">
        <v>415</v>
      </c>
      <c r="P695" s="1186"/>
      <c r="Q695" s="1186"/>
      <c r="R695" s="1185">
        <f>F695+J695-N695:N695</f>
        <v>0</v>
      </c>
      <c r="S695" s="1186"/>
      <c r="T695" s="1186" t="s">
        <v>416</v>
      </c>
      <c r="U695" s="1420"/>
      <c r="V695" s="52"/>
    </row>
    <row r="696" spans="1:22" s="141" customFormat="1" ht="15">
      <c r="A696" s="650"/>
      <c r="B696" s="1290" t="s">
        <v>10</v>
      </c>
      <c r="C696" s="1291"/>
      <c r="D696" s="1291"/>
      <c r="E696" s="1292"/>
      <c r="F696" s="1206">
        <f>SUM(F695:I695)</f>
        <v>0</v>
      </c>
      <c r="G696" s="1207"/>
      <c r="H696" s="1207" t="s">
        <v>424</v>
      </c>
      <c r="I696" s="1207"/>
      <c r="J696" s="1206">
        <f>SUM(J695:M695)</f>
        <v>0</v>
      </c>
      <c r="K696" s="1207"/>
      <c r="L696" s="1207" t="s">
        <v>425</v>
      </c>
      <c r="M696" s="1207"/>
      <c r="N696" s="1206">
        <f>SUM(N695:Q695)</f>
        <v>0</v>
      </c>
      <c r="O696" s="1207"/>
      <c r="P696" s="1207" t="s">
        <v>737</v>
      </c>
      <c r="Q696" s="1207"/>
      <c r="R696" s="1206">
        <f>SUM(R695:U695)</f>
        <v>0</v>
      </c>
      <c r="S696" s="1207"/>
      <c r="T696" s="1207" t="s">
        <v>738</v>
      </c>
      <c r="U696" s="1208"/>
      <c r="V696" s="52"/>
    </row>
    <row r="697" spans="1:22" s="141" customFormat="1" ht="4.5" customHeight="1">
      <c r="A697" s="650"/>
      <c r="B697" s="128"/>
      <c r="C697" s="129"/>
      <c r="D697" s="129"/>
      <c r="E697" s="129"/>
      <c r="F697" s="85"/>
      <c r="G697" s="85"/>
      <c r="H697" s="85"/>
      <c r="I697" s="85"/>
      <c r="J697" s="85"/>
      <c r="K697" s="85"/>
      <c r="L697" s="85"/>
      <c r="M697" s="85"/>
      <c r="N697" s="85"/>
      <c r="O697" s="85"/>
      <c r="P697" s="85"/>
      <c r="Q697" s="85"/>
      <c r="R697" s="85"/>
      <c r="S697" s="85"/>
      <c r="T697" s="85"/>
      <c r="U697" s="85"/>
      <c r="V697" s="52"/>
    </row>
    <row r="698" spans="1:22" s="141" customFormat="1" ht="15.75">
      <c r="A698" s="650"/>
      <c r="B698" s="128"/>
      <c r="C698" s="112" t="s">
        <v>781</v>
      </c>
      <c r="D698" s="1525" t="s">
        <v>469</v>
      </c>
      <c r="E698" s="1525"/>
      <c r="F698" s="1525"/>
      <c r="G698" s="1525"/>
      <c r="H698" s="1525"/>
      <c r="I698" s="1525"/>
      <c r="J698" s="1525"/>
      <c r="K698" s="1525"/>
      <c r="L698" s="1525"/>
      <c r="M698" s="1525"/>
      <c r="N698" s="1525"/>
      <c r="O698" s="1525"/>
      <c r="P698" s="1525"/>
      <c r="Q698" s="1525"/>
      <c r="R698" s="1525"/>
      <c r="S698" s="1525"/>
      <c r="T698" s="1525"/>
      <c r="U698" s="1525"/>
      <c r="V698" s="52"/>
    </row>
    <row r="699" spans="1:22" s="141" customFormat="1" ht="57.75" customHeight="1">
      <c r="A699" s="650"/>
      <c r="B699" s="128"/>
      <c r="C699" s="129"/>
      <c r="D699" s="129"/>
      <c r="E699" s="129"/>
      <c r="F699" s="85"/>
      <c r="G699" s="85"/>
      <c r="H699" s="85"/>
      <c r="I699" s="85"/>
      <c r="J699" s="85"/>
      <c r="K699" s="85"/>
      <c r="L699" s="85"/>
      <c r="M699" s="85"/>
      <c r="N699" s="85"/>
      <c r="O699" s="85"/>
      <c r="P699" s="85"/>
      <c r="Q699" s="85"/>
      <c r="R699" s="85"/>
      <c r="S699" s="85"/>
      <c r="T699" s="85"/>
      <c r="U699" s="85"/>
      <c r="V699" s="52"/>
    </row>
    <row r="700" spans="1:22" s="141" customFormat="1" ht="16.5" customHeight="1">
      <c r="A700" s="650"/>
      <c r="B700" s="9"/>
      <c r="C700" s="111" t="s">
        <v>788</v>
      </c>
      <c r="D700" s="1435" t="s">
        <v>1545</v>
      </c>
      <c r="E700" s="1435"/>
      <c r="F700" s="1435"/>
      <c r="G700" s="1435"/>
      <c r="H700" s="1435"/>
      <c r="I700" s="1435"/>
      <c r="J700" s="1435"/>
      <c r="K700" s="1435"/>
      <c r="L700" s="1435"/>
      <c r="M700" s="1435"/>
      <c r="N700" s="1435"/>
      <c r="O700" s="1435"/>
      <c r="P700" s="1435"/>
      <c r="Q700" s="1435"/>
      <c r="R700" s="1435"/>
      <c r="S700" s="1435"/>
      <c r="T700" s="1435"/>
      <c r="U700" s="1435"/>
      <c r="V700" s="52"/>
    </row>
    <row r="701" spans="1:22" s="141" customFormat="1" ht="77.25" customHeight="1">
      <c r="A701" s="650"/>
      <c r="C701" s="12"/>
      <c r="D701" s="1091" t="str">
        <f>"Piutang Lain-lain PAD Yang Sah per "&amp;'2.ISIAN DATA SKPD'!D8&amp;" sebesar Rp. "&amp;FIXED(R706)&amp;" adalah hak Pemerintah daerah dalam hal ini BLUD Puskesmas selain pajak dan retribusi  namun sampai tanggal tersebut belum dibayar oleh pihak yang menikmati pelayanan,  dengan rincian mutasi sebagai berikut :"</f>
        <v>Piutang Lain-lain PAD Yang Sah per 31 Desember 2017 sebesar Rp. 0.00 adalah hak Pemerintah daerah dalam hal ini BLUD Puskesmas selain pajak dan retribusi  namun sampai tanggal tersebut belum dibayar oleh pihak yang menikmati pelayanan,  dengan rincian mutasi sebagai berikut :</v>
      </c>
      <c r="E701" s="1091"/>
      <c r="F701" s="1091"/>
      <c r="G701" s="1091"/>
      <c r="H701" s="1091"/>
      <c r="I701" s="1091"/>
      <c r="J701" s="1091"/>
      <c r="K701" s="1091"/>
      <c r="L701" s="1091"/>
      <c r="M701" s="1091"/>
      <c r="N701" s="1091"/>
      <c r="O701" s="1091"/>
      <c r="P701" s="1091"/>
      <c r="Q701" s="1091"/>
      <c r="R701" s="1091"/>
      <c r="S701" s="1091"/>
      <c r="T701" s="1091"/>
      <c r="U701" s="1091"/>
      <c r="V701" s="52"/>
    </row>
    <row r="702" spans="1:22" s="141" customFormat="1" ht="4.5" customHeight="1">
      <c r="A702" s="650"/>
      <c r="C702" s="12"/>
      <c r="D702" s="702"/>
      <c r="E702" s="702"/>
      <c r="F702" s="702"/>
      <c r="G702" s="702"/>
      <c r="H702" s="702"/>
      <c r="I702" s="702"/>
      <c r="J702" s="702"/>
      <c r="K702" s="702"/>
      <c r="L702" s="702"/>
      <c r="M702" s="702"/>
      <c r="N702" s="702"/>
      <c r="O702" s="702"/>
      <c r="P702" s="702"/>
      <c r="Q702" s="702"/>
      <c r="R702" s="702"/>
      <c r="S702" s="702"/>
      <c r="T702" s="702"/>
      <c r="U702" s="702"/>
      <c r="V702" s="52"/>
    </row>
    <row r="703" spans="1:22" s="141" customFormat="1" ht="15" customHeight="1">
      <c r="A703" s="650"/>
      <c r="B703" s="1183" t="s">
        <v>46</v>
      </c>
      <c r="C703" s="1227" t="s">
        <v>256</v>
      </c>
      <c r="D703" s="1228"/>
      <c r="E703" s="1229"/>
      <c r="F703" s="1164" t="s">
        <v>411</v>
      </c>
      <c r="G703" s="1165"/>
      <c r="H703" s="1165"/>
      <c r="I703" s="1166"/>
      <c r="J703" s="1198" t="str">
        <f>J693</f>
        <v>MUTASI  TA 2017</v>
      </c>
      <c r="K703" s="1199"/>
      <c r="L703" s="1199"/>
      <c r="M703" s="1199"/>
      <c r="N703" s="1199"/>
      <c r="O703" s="1199"/>
      <c r="P703" s="1199"/>
      <c r="Q703" s="1200"/>
      <c r="R703" s="1164" t="s">
        <v>412</v>
      </c>
      <c r="S703" s="1165"/>
      <c r="T703" s="1165"/>
      <c r="U703" s="1166"/>
      <c r="V703" s="52"/>
    </row>
    <row r="704" spans="1:22" s="141" customFormat="1" ht="15" customHeight="1">
      <c r="A704" s="650"/>
      <c r="B704" s="1184"/>
      <c r="C704" s="1230"/>
      <c r="D704" s="1231"/>
      <c r="E704" s="1232"/>
      <c r="F704" s="1198">
        <f>F694</f>
        <v>2016</v>
      </c>
      <c r="G704" s="1165"/>
      <c r="H704" s="1165"/>
      <c r="I704" s="1166"/>
      <c r="J704" s="1164" t="s">
        <v>413</v>
      </c>
      <c r="K704" s="1165"/>
      <c r="L704" s="1165"/>
      <c r="M704" s="1166"/>
      <c r="N704" s="1164" t="s">
        <v>433</v>
      </c>
      <c r="O704" s="1165"/>
      <c r="P704" s="1165"/>
      <c r="Q704" s="1166"/>
      <c r="R704" s="1164">
        <f>R694</f>
        <v>2017</v>
      </c>
      <c r="S704" s="1165"/>
      <c r="T704" s="1165"/>
      <c r="U704" s="1166"/>
      <c r="V704" s="52"/>
    </row>
    <row r="705" spans="1:22" s="141" customFormat="1" ht="26.25" customHeight="1">
      <c r="A705" s="650"/>
      <c r="B705" s="748">
        <v>1</v>
      </c>
      <c r="C705" s="1526" t="s">
        <v>739</v>
      </c>
      <c r="D705" s="1527"/>
      <c r="E705" s="1528"/>
      <c r="F705" s="1185">
        <v>0</v>
      </c>
      <c r="G705" s="1186"/>
      <c r="H705" s="1186" t="s">
        <v>414</v>
      </c>
      <c r="I705" s="1186"/>
      <c r="J705" s="1185">
        <v>0</v>
      </c>
      <c r="K705" s="1186" t="s">
        <v>415</v>
      </c>
      <c r="L705" s="1186"/>
      <c r="M705" s="1186"/>
      <c r="N705" s="1185">
        <v>0</v>
      </c>
      <c r="O705" s="1186" t="s">
        <v>415</v>
      </c>
      <c r="P705" s="1186"/>
      <c r="Q705" s="1186"/>
      <c r="R705" s="1185">
        <f>F705+J705-N705:N705</f>
        <v>0</v>
      </c>
      <c r="S705" s="1186"/>
      <c r="T705" s="1186" t="s">
        <v>416</v>
      </c>
      <c r="U705" s="1420"/>
      <c r="V705" s="52"/>
    </row>
    <row r="706" spans="1:22" s="141" customFormat="1" ht="18.75" customHeight="1">
      <c r="A706" s="650"/>
      <c r="B706" s="751"/>
      <c r="C706" s="1529" t="s">
        <v>10</v>
      </c>
      <c r="D706" s="1530"/>
      <c r="E706" s="1531"/>
      <c r="F706" s="1206">
        <f>SUM(F705:I705)</f>
        <v>0</v>
      </c>
      <c r="G706" s="1207"/>
      <c r="H706" s="1207" t="s">
        <v>424</v>
      </c>
      <c r="I706" s="1207"/>
      <c r="J706" s="1206">
        <f>SUM(J705:M705)</f>
        <v>0</v>
      </c>
      <c r="K706" s="1207"/>
      <c r="L706" s="1207" t="s">
        <v>425</v>
      </c>
      <c r="M706" s="1207"/>
      <c r="N706" s="1206">
        <f>SUM(N705:Q705)</f>
        <v>0</v>
      </c>
      <c r="O706" s="1207"/>
      <c r="P706" s="1207" t="s">
        <v>737</v>
      </c>
      <c r="Q706" s="1207"/>
      <c r="R706" s="1206">
        <f>SUM(R705:U705)</f>
        <v>0</v>
      </c>
      <c r="S706" s="1207"/>
      <c r="T706" s="1207" t="s">
        <v>738</v>
      </c>
      <c r="U706" s="1208"/>
      <c r="V706" s="52"/>
    </row>
    <row r="707" spans="1:22" s="141" customFormat="1" ht="6.75" customHeight="1">
      <c r="A707" s="650"/>
      <c r="B707" s="128"/>
      <c r="C707" s="129"/>
      <c r="D707" s="129"/>
      <c r="E707" s="129"/>
      <c r="F707" s="85"/>
      <c r="G707" s="85"/>
      <c r="H707" s="85"/>
      <c r="I707" s="85"/>
      <c r="J707" s="85"/>
      <c r="K707" s="85"/>
      <c r="L707" s="85"/>
      <c r="M707" s="85"/>
      <c r="N707" s="85"/>
      <c r="O707" s="85"/>
      <c r="P707" s="85"/>
      <c r="Q707" s="85"/>
      <c r="R707" s="85"/>
      <c r="S707" s="85"/>
      <c r="T707" s="85"/>
      <c r="U707" s="85"/>
      <c r="V707" s="52"/>
    </row>
    <row r="708" spans="1:39" s="141" customFormat="1" ht="62.25" customHeight="1">
      <c r="A708" s="650"/>
      <c r="B708" s="128"/>
      <c r="C708" s="129"/>
      <c r="D708" s="1091" t="s">
        <v>1548</v>
      </c>
      <c r="E708" s="1091"/>
      <c r="F708" s="1091"/>
      <c r="G708" s="1091"/>
      <c r="H708" s="1091"/>
      <c r="I708" s="1091"/>
      <c r="J708" s="1091"/>
      <c r="K708" s="1091"/>
      <c r="L708" s="1091"/>
      <c r="M708" s="1091"/>
      <c r="N708" s="1091"/>
      <c r="O708" s="1091"/>
      <c r="P708" s="1091"/>
      <c r="Q708" s="1091"/>
      <c r="R708" s="1091"/>
      <c r="S708" s="1091"/>
      <c r="T708" s="1091"/>
      <c r="U708" s="1091"/>
      <c r="V708" s="1135"/>
      <c r="W708" s="1135"/>
      <c r="X708" s="1135"/>
      <c r="Y708" s="1135"/>
      <c r="Z708" s="1135"/>
      <c r="AA708" s="1135"/>
      <c r="AB708" s="1135"/>
      <c r="AC708" s="1135"/>
      <c r="AD708" s="1135"/>
      <c r="AE708" s="1135"/>
      <c r="AF708" s="1135"/>
      <c r="AG708" s="1135"/>
      <c r="AH708" s="1135"/>
      <c r="AI708" s="1135"/>
      <c r="AJ708" s="1135"/>
      <c r="AK708" s="1135"/>
      <c r="AL708" s="1135"/>
      <c r="AM708" s="1135"/>
    </row>
    <row r="709" spans="1:39" s="141" customFormat="1" ht="15.75">
      <c r="A709" s="650"/>
      <c r="B709" s="128"/>
      <c r="C709" s="129"/>
      <c r="D709" s="752" t="s">
        <v>1547</v>
      </c>
      <c r="E709" s="1226" t="str">
        <f>"Mutasi debet sebesar Rp. "&amp;FIXED(J706)&amp;" "</f>
        <v>Mutasi debet sebesar Rp. 0.00 </v>
      </c>
      <c r="F709" s="1226"/>
      <c r="G709" s="1226"/>
      <c r="H709" s="1226"/>
      <c r="I709" s="1226"/>
      <c r="J709" s="1226"/>
      <c r="K709" s="1226"/>
      <c r="L709" s="1226"/>
      <c r="M709" s="1226"/>
      <c r="N709" s="1226"/>
      <c r="O709" s="1226"/>
      <c r="P709" s="1226"/>
      <c r="Q709" s="1226"/>
      <c r="R709" s="1226"/>
      <c r="S709" s="1226"/>
      <c r="T709" s="1226"/>
      <c r="U709" s="1226"/>
      <c r="V709" s="12"/>
      <c r="W709" s="637"/>
      <c r="X709" s="637"/>
      <c r="Y709" s="637"/>
      <c r="Z709" s="637"/>
      <c r="AA709" s="637"/>
      <c r="AB709" s="637"/>
      <c r="AC709" s="637"/>
      <c r="AD709" s="637"/>
      <c r="AE709" s="637"/>
      <c r="AF709" s="637"/>
      <c r="AG709" s="637"/>
      <c r="AH709" s="637"/>
      <c r="AI709" s="637"/>
      <c r="AJ709" s="637"/>
      <c r="AK709" s="637"/>
      <c r="AL709" s="637"/>
      <c r="AM709" s="637"/>
    </row>
    <row r="710" spans="1:22" s="141" customFormat="1" ht="15.75">
      <c r="A710" s="650"/>
      <c r="B710" s="128"/>
      <c r="C710" s="129"/>
      <c r="D710" s="58" t="s">
        <v>1546</v>
      </c>
      <c r="E710" s="1226" t="str">
        <f>"Mutasi kredit sebesar Rp. "&amp;FIXED(N706)&amp;" ."</f>
        <v>Mutasi kredit sebesar Rp. 0.00 .</v>
      </c>
      <c r="F710" s="1226"/>
      <c r="G710" s="1226"/>
      <c r="H710" s="1226"/>
      <c r="I710" s="1226"/>
      <c r="J710" s="1226"/>
      <c r="K710" s="1226"/>
      <c r="L710" s="1226"/>
      <c r="M710" s="1226"/>
      <c r="N710" s="1226"/>
      <c r="O710" s="1226"/>
      <c r="P710" s="1226"/>
      <c r="Q710" s="1226"/>
      <c r="R710" s="1226"/>
      <c r="S710" s="1226"/>
      <c r="T710" s="1226"/>
      <c r="U710" s="1226"/>
      <c r="V710" s="52"/>
    </row>
    <row r="711" spans="1:40" s="141" customFormat="1" ht="18.75" customHeight="1">
      <c r="A711" s="650"/>
      <c r="B711" s="128"/>
      <c r="C711" s="89" t="s">
        <v>786</v>
      </c>
      <c r="D711" s="1435" t="s">
        <v>471</v>
      </c>
      <c r="E711" s="1435"/>
      <c r="F711" s="1435"/>
      <c r="G711" s="1435"/>
      <c r="H711" s="1435"/>
      <c r="I711" s="1435"/>
      <c r="J711" s="1435"/>
      <c r="K711" s="1435"/>
      <c r="L711" s="1435"/>
      <c r="M711" s="1435"/>
      <c r="N711" s="1435"/>
      <c r="O711" s="1435"/>
      <c r="P711" s="1435"/>
      <c r="Q711" s="1435"/>
      <c r="R711" s="1435"/>
      <c r="S711" s="1435"/>
      <c r="T711" s="1435"/>
      <c r="U711" s="1435"/>
      <c r="V711" s="66"/>
      <c r="W711" s="1136"/>
      <c r="X711" s="1136"/>
      <c r="Y711" s="1102"/>
      <c r="Z711" s="1102"/>
      <c r="AA711" s="1102"/>
      <c r="AB711" s="1102"/>
      <c r="AC711" s="1102"/>
      <c r="AD711" s="1102"/>
      <c r="AE711" s="1102"/>
      <c r="AF711" s="1102"/>
      <c r="AG711" s="1102"/>
      <c r="AH711" s="1102"/>
      <c r="AI711" s="1103"/>
      <c r="AJ711" s="1103"/>
      <c r="AK711" s="1103"/>
      <c r="AL711" s="1103"/>
      <c r="AM711" s="1103"/>
      <c r="AN711" s="1103"/>
    </row>
    <row r="712" spans="1:40" s="141" customFormat="1" ht="31.5" customHeight="1">
      <c r="A712" s="650"/>
      <c r="B712" s="9"/>
      <c r="D712" s="1091" t="str">
        <f>"Piutang Lainnya  per "&amp;'2.ISIAN DATA SKPD'!D8&amp;" sebesar Rp. "&amp;FIXED(R718)&amp;"  dengan mutasi sebagai berikut :"</f>
        <v>Piutang Lainnya  per 31 Desember 2017 sebesar Rp. 0.00  dengan mutasi sebagai berikut :</v>
      </c>
      <c r="E712" s="1091"/>
      <c r="F712" s="1091"/>
      <c r="G712" s="1091"/>
      <c r="H712" s="1091"/>
      <c r="I712" s="1091"/>
      <c r="J712" s="1091"/>
      <c r="K712" s="1091"/>
      <c r="L712" s="1091"/>
      <c r="M712" s="1091"/>
      <c r="N712" s="1091"/>
      <c r="O712" s="1091"/>
      <c r="P712" s="1091"/>
      <c r="Q712" s="1091"/>
      <c r="R712" s="1091"/>
      <c r="S712" s="1091"/>
      <c r="T712" s="1091"/>
      <c r="U712" s="1091"/>
      <c r="V712" s="66"/>
      <c r="W712" s="1104"/>
      <c r="X712" s="1104"/>
      <c r="Y712" s="1104"/>
      <c r="Z712" s="1104"/>
      <c r="AA712" s="1104"/>
      <c r="AB712" s="1104"/>
      <c r="AC712" s="1104"/>
      <c r="AD712" s="1104"/>
      <c r="AE712" s="1104"/>
      <c r="AF712" s="1104"/>
      <c r="AG712" s="1104"/>
      <c r="AH712" s="1104"/>
      <c r="AI712" s="1105"/>
      <c r="AJ712" s="1105"/>
      <c r="AK712" s="1105"/>
      <c r="AL712" s="1105"/>
      <c r="AM712" s="1105"/>
      <c r="AN712" s="1105"/>
    </row>
    <row r="713" spans="1:40" s="141" customFormat="1" ht="9.75" customHeight="1">
      <c r="A713" s="650"/>
      <c r="B713" s="9"/>
      <c r="D713" s="702"/>
      <c r="E713" s="702"/>
      <c r="F713" s="702"/>
      <c r="G713" s="702"/>
      <c r="H713" s="702"/>
      <c r="I713" s="702"/>
      <c r="J713" s="702"/>
      <c r="K713" s="702"/>
      <c r="L713" s="702"/>
      <c r="M713" s="702"/>
      <c r="N713" s="702"/>
      <c r="O713" s="702"/>
      <c r="P713" s="702"/>
      <c r="Q713" s="702"/>
      <c r="R713" s="702"/>
      <c r="S713" s="702"/>
      <c r="T713" s="702"/>
      <c r="U713" s="702"/>
      <c r="V713" s="66"/>
      <c r="W713" s="635"/>
      <c r="X713" s="635"/>
      <c r="Y713" s="635"/>
      <c r="Z713" s="635"/>
      <c r="AA713" s="635"/>
      <c r="AB713" s="635"/>
      <c r="AC713" s="635"/>
      <c r="AD713" s="635"/>
      <c r="AE713" s="635"/>
      <c r="AF713" s="635"/>
      <c r="AG713" s="635"/>
      <c r="AH713" s="635"/>
      <c r="AI713" s="636"/>
      <c r="AJ713" s="636"/>
      <c r="AK713" s="636"/>
      <c r="AL713" s="636"/>
      <c r="AM713" s="636"/>
      <c r="AN713" s="636"/>
    </row>
    <row r="714" spans="1:40" s="141" customFormat="1" ht="9.75" customHeight="1">
      <c r="A714" s="650"/>
      <c r="B714" s="9"/>
      <c r="D714" s="833"/>
      <c r="E714" s="833"/>
      <c r="F714" s="833"/>
      <c r="G714" s="833"/>
      <c r="H714" s="833"/>
      <c r="I714" s="833"/>
      <c r="J714" s="833"/>
      <c r="K714" s="833"/>
      <c r="L714" s="833"/>
      <c r="M714" s="833"/>
      <c r="N714" s="833"/>
      <c r="O714" s="833"/>
      <c r="P714" s="833"/>
      <c r="Q714" s="833"/>
      <c r="R714" s="833"/>
      <c r="S714" s="833"/>
      <c r="T714" s="833"/>
      <c r="U714" s="833"/>
      <c r="V714" s="66"/>
      <c r="W714" s="839"/>
      <c r="X714" s="839"/>
      <c r="Y714" s="839"/>
      <c r="Z714" s="839"/>
      <c r="AA714" s="839"/>
      <c r="AB714" s="839"/>
      <c r="AC714" s="839"/>
      <c r="AD714" s="839"/>
      <c r="AE714" s="839"/>
      <c r="AF714" s="839"/>
      <c r="AG714" s="839"/>
      <c r="AH714" s="839"/>
      <c r="AI714" s="840"/>
      <c r="AJ714" s="840"/>
      <c r="AK714" s="840"/>
      <c r="AL714" s="840"/>
      <c r="AM714" s="840"/>
      <c r="AN714" s="840"/>
    </row>
    <row r="715" spans="1:40" s="141" customFormat="1" ht="15">
      <c r="A715" s="650"/>
      <c r="B715" s="1183" t="s">
        <v>46</v>
      </c>
      <c r="C715" s="1227" t="s">
        <v>256</v>
      </c>
      <c r="D715" s="1228"/>
      <c r="E715" s="1229"/>
      <c r="F715" s="1164" t="s">
        <v>411</v>
      </c>
      <c r="G715" s="1165"/>
      <c r="H715" s="1165"/>
      <c r="I715" s="1166"/>
      <c r="J715" s="1198" t="str">
        <f>J679</f>
        <v>MUTASI  TA 2017</v>
      </c>
      <c r="K715" s="1199"/>
      <c r="L715" s="1199"/>
      <c r="M715" s="1199"/>
      <c r="N715" s="1199"/>
      <c r="O715" s="1199"/>
      <c r="P715" s="1199"/>
      <c r="Q715" s="1200"/>
      <c r="R715" s="1164" t="s">
        <v>412</v>
      </c>
      <c r="S715" s="1165"/>
      <c r="T715" s="1165"/>
      <c r="U715" s="1166"/>
      <c r="V715" s="66"/>
      <c r="W715" s="130"/>
      <c r="X715" s="130"/>
      <c r="Y715" s="130"/>
      <c r="Z715" s="130"/>
      <c r="AA715" s="130"/>
      <c r="AB715" s="130"/>
      <c r="AC715" s="130"/>
      <c r="AD715" s="130"/>
      <c r="AE715" s="130"/>
      <c r="AF715" s="130"/>
      <c r="AG715" s="130"/>
      <c r="AH715" s="130"/>
      <c r="AI715" s="130"/>
      <c r="AJ715" s="130"/>
      <c r="AK715" s="130"/>
      <c r="AL715" s="130"/>
      <c r="AM715" s="130"/>
      <c r="AN715" s="130"/>
    </row>
    <row r="716" spans="1:22" s="141" customFormat="1" ht="15">
      <c r="A716" s="753"/>
      <c r="B716" s="1184"/>
      <c r="C716" s="1230"/>
      <c r="D716" s="1231"/>
      <c r="E716" s="1232"/>
      <c r="F716" s="1164">
        <f>F694</f>
        <v>2016</v>
      </c>
      <c r="G716" s="1165"/>
      <c r="H716" s="1165"/>
      <c r="I716" s="1166"/>
      <c r="J716" s="1164" t="s">
        <v>413</v>
      </c>
      <c r="K716" s="1165"/>
      <c r="L716" s="1165"/>
      <c r="M716" s="1166"/>
      <c r="N716" s="1164" t="s">
        <v>433</v>
      </c>
      <c r="O716" s="1165"/>
      <c r="P716" s="1165"/>
      <c r="Q716" s="1166"/>
      <c r="R716" s="1164">
        <f>R704</f>
        <v>2017</v>
      </c>
      <c r="S716" s="1165"/>
      <c r="T716" s="1165"/>
      <c r="U716" s="1166"/>
      <c r="V716" s="52"/>
    </row>
    <row r="717" spans="1:22" s="141" customFormat="1" ht="39.75" customHeight="1">
      <c r="A717" s="753"/>
      <c r="B717" s="748">
        <v>1</v>
      </c>
      <c r="C717" s="1496" t="s">
        <v>740</v>
      </c>
      <c r="D717" s="1497"/>
      <c r="E717" s="1498"/>
      <c r="F717" s="1190">
        <v>0</v>
      </c>
      <c r="G717" s="1191"/>
      <c r="H717" s="1191" t="s">
        <v>414</v>
      </c>
      <c r="I717" s="1191"/>
      <c r="J717" s="1190">
        <v>0</v>
      </c>
      <c r="K717" s="1191" t="s">
        <v>415</v>
      </c>
      <c r="L717" s="1191"/>
      <c r="M717" s="1191"/>
      <c r="N717" s="1190">
        <v>0</v>
      </c>
      <c r="O717" s="1191" t="s">
        <v>415</v>
      </c>
      <c r="P717" s="1191"/>
      <c r="Q717" s="1191"/>
      <c r="R717" s="1190">
        <f>F717+J717-N717:N717</f>
        <v>0</v>
      </c>
      <c r="S717" s="1191"/>
      <c r="T717" s="1191" t="s">
        <v>416</v>
      </c>
      <c r="U717" s="1192"/>
      <c r="V717" s="52"/>
    </row>
    <row r="718" spans="1:22" s="141" customFormat="1" ht="15.75">
      <c r="A718" s="650"/>
      <c r="B718" s="751"/>
      <c r="C718" s="1589" t="s">
        <v>10</v>
      </c>
      <c r="D718" s="1590"/>
      <c r="E718" s="1591"/>
      <c r="F718" s="1206">
        <f>SUM(F717:I717)</f>
        <v>0</v>
      </c>
      <c r="G718" s="1207"/>
      <c r="H718" s="1207" t="s">
        <v>424</v>
      </c>
      <c r="I718" s="1207"/>
      <c r="J718" s="1206">
        <f>SUM(J717:M717)</f>
        <v>0</v>
      </c>
      <c r="K718" s="1207"/>
      <c r="L718" s="1207" t="s">
        <v>425</v>
      </c>
      <c r="M718" s="1207"/>
      <c r="N718" s="1206">
        <f>SUM(N717:Q717)</f>
        <v>0</v>
      </c>
      <c r="O718" s="1207"/>
      <c r="P718" s="1207" t="s">
        <v>737</v>
      </c>
      <c r="Q718" s="1207"/>
      <c r="R718" s="1206">
        <f>SUM(R717:U717)</f>
        <v>0</v>
      </c>
      <c r="S718" s="1207"/>
      <c r="T718" s="1207" t="s">
        <v>738</v>
      </c>
      <c r="U718" s="1208"/>
      <c r="V718" s="52"/>
    </row>
    <row r="719" spans="1:22" s="141" customFormat="1" ht="15">
      <c r="A719" s="650"/>
      <c r="B719" s="9"/>
      <c r="C719" s="9"/>
      <c r="D719" s="9"/>
      <c r="E719" s="9"/>
      <c r="F719" s="9"/>
      <c r="G719" s="9"/>
      <c r="H719" s="9"/>
      <c r="I719" s="9"/>
      <c r="J719" s="9"/>
      <c r="K719" s="9"/>
      <c r="L719" s="5"/>
      <c r="M719" s="5"/>
      <c r="N719" s="5"/>
      <c r="O719" s="5"/>
      <c r="P719" s="5"/>
      <c r="Q719" s="5"/>
      <c r="R719" s="5"/>
      <c r="S719" s="5"/>
      <c r="T719" s="5"/>
      <c r="U719" s="5"/>
      <c r="V719" s="52"/>
    </row>
    <row r="720" spans="1:22" s="141" customFormat="1" ht="15.75" customHeight="1">
      <c r="A720" s="650"/>
      <c r="B720" s="647"/>
      <c r="C720" s="1089" t="s">
        <v>1227</v>
      </c>
      <c r="D720" s="1090"/>
      <c r="E720" s="1090"/>
      <c r="F720" s="1090"/>
      <c r="G720" s="1090"/>
      <c r="H720" s="1090"/>
      <c r="I720" s="1090"/>
      <c r="J720" s="1090"/>
      <c r="K720" s="1090"/>
      <c r="L720" s="1090"/>
      <c r="M720" s="1090"/>
      <c r="N720" s="1090"/>
      <c r="O720" s="1090"/>
      <c r="P720" s="1090"/>
      <c r="Q720" s="1090"/>
      <c r="R720" s="1090"/>
      <c r="S720" s="1090"/>
      <c r="T720" s="1090"/>
      <c r="U720" s="1090"/>
      <c r="V720" s="52"/>
    </row>
    <row r="721" spans="1:22" s="141" customFormat="1" ht="105" customHeight="1">
      <c r="A721" s="650"/>
      <c r="D721" s="1091" t="s">
        <v>1550</v>
      </c>
      <c r="E721" s="1091"/>
      <c r="F721" s="1091"/>
      <c r="G721" s="1091"/>
      <c r="H721" s="1091"/>
      <c r="I721" s="1091"/>
      <c r="J721" s="1091"/>
      <c r="K721" s="1091"/>
      <c r="L721" s="1091"/>
      <c r="M721" s="1091"/>
      <c r="N721" s="1091"/>
      <c r="O721" s="1091"/>
      <c r="P721" s="1091"/>
      <c r="Q721" s="1091"/>
      <c r="R721" s="1091"/>
      <c r="S721" s="1091"/>
      <c r="T721" s="1091"/>
      <c r="U721" s="1091"/>
      <c r="V721" s="52"/>
    </row>
    <row r="722" spans="1:22" s="141" customFormat="1" ht="6.75" customHeight="1">
      <c r="A722" s="650"/>
      <c r="D722" s="702"/>
      <c r="E722" s="702"/>
      <c r="F722" s="702"/>
      <c r="G722" s="702"/>
      <c r="H722" s="702"/>
      <c r="I722" s="702"/>
      <c r="J722" s="702"/>
      <c r="K722" s="702"/>
      <c r="L722" s="702"/>
      <c r="M722" s="702"/>
      <c r="N722" s="702"/>
      <c r="O722" s="702"/>
      <c r="P722" s="702"/>
      <c r="Q722" s="702"/>
      <c r="R722" s="702"/>
      <c r="S722" s="702"/>
      <c r="T722" s="702"/>
      <c r="U722" s="702"/>
      <c r="V722" s="52"/>
    </row>
    <row r="723" spans="1:22" s="141" customFormat="1" ht="22.5" customHeight="1">
      <c r="A723" s="650"/>
      <c r="B723" s="1616" t="s">
        <v>1549</v>
      </c>
      <c r="C723" s="1616"/>
      <c r="D723" s="1616"/>
      <c r="E723" s="1616"/>
      <c r="F723" s="1616"/>
      <c r="G723" s="1616"/>
      <c r="H723" s="1616"/>
      <c r="I723" s="1616"/>
      <c r="J723" s="1616"/>
      <c r="K723" s="1616"/>
      <c r="L723" s="1616"/>
      <c r="M723" s="1616"/>
      <c r="N723" s="1616"/>
      <c r="O723" s="1616"/>
      <c r="P723" s="1616"/>
      <c r="Q723" s="1616"/>
      <c r="R723" s="1616"/>
      <c r="S723" s="1616"/>
      <c r="T723" s="1616"/>
      <c r="U723" s="1616"/>
      <c r="V723" s="52"/>
    </row>
    <row r="724" spans="1:22" s="141" customFormat="1" ht="33" customHeight="1">
      <c r="A724" s="650"/>
      <c r="B724" s="1535" t="s">
        <v>112</v>
      </c>
      <c r="C724" s="1545"/>
      <c r="D724" s="1545"/>
      <c r="E724" s="1545"/>
      <c r="F724" s="1545"/>
      <c r="G724" s="1545"/>
      <c r="H724" s="1545"/>
      <c r="I724" s="1546"/>
      <c r="J724" s="1126" t="s">
        <v>127</v>
      </c>
      <c r="K724" s="1127"/>
      <c r="L724" s="1127"/>
      <c r="M724" s="1128"/>
      <c r="N724" s="1126" t="s">
        <v>128</v>
      </c>
      <c r="O724" s="1127"/>
      <c r="P724" s="1127"/>
      <c r="Q724" s="1128"/>
      <c r="R724" s="1126" t="s">
        <v>129</v>
      </c>
      <c r="S724" s="1127"/>
      <c r="T724" s="1127"/>
      <c r="U724" s="1128"/>
      <c r="V724" s="52"/>
    </row>
    <row r="725" spans="1:22" s="141" customFormat="1" ht="19.5" customHeight="1">
      <c r="A725" s="650"/>
      <c r="B725" s="1584" t="s">
        <v>1551</v>
      </c>
      <c r="C725" s="1585"/>
      <c r="D725" s="1585"/>
      <c r="E725" s="1585"/>
      <c r="F725" s="1585"/>
      <c r="G725" s="1585"/>
      <c r="H725" s="1585"/>
      <c r="I725" s="1586"/>
      <c r="J725" s="1581"/>
      <c r="K725" s="1582"/>
      <c r="L725" s="1582"/>
      <c r="M725" s="1583"/>
      <c r="N725" s="1613"/>
      <c r="O725" s="1614"/>
      <c r="P725" s="1614"/>
      <c r="Q725" s="1615"/>
      <c r="R725" s="1581"/>
      <c r="S725" s="1582"/>
      <c r="T725" s="1582"/>
      <c r="U725" s="1583"/>
      <c r="V725" s="52"/>
    </row>
    <row r="726" spans="1:22" s="141" customFormat="1" ht="19.5" customHeight="1">
      <c r="A726" s="650"/>
      <c r="B726" s="1578" t="s">
        <v>113</v>
      </c>
      <c r="C726" s="1579"/>
      <c r="D726" s="1579"/>
      <c r="E726" s="1579"/>
      <c r="F726" s="1579"/>
      <c r="G726" s="1579"/>
      <c r="H726" s="1579"/>
      <c r="I726" s="1580"/>
      <c r="J726" s="1190">
        <v>0</v>
      </c>
      <c r="K726" s="1191"/>
      <c r="L726" s="1191"/>
      <c r="M726" s="1191"/>
      <c r="N726" s="1575">
        <v>0</v>
      </c>
      <c r="O726" s="1576"/>
      <c r="P726" s="1576"/>
      <c r="Q726" s="1577"/>
      <c r="R726" s="1190">
        <f>J726*N726</f>
        <v>0</v>
      </c>
      <c r="S726" s="1191"/>
      <c r="T726" s="1191"/>
      <c r="U726" s="1192"/>
      <c r="V726" s="52"/>
    </row>
    <row r="727" spans="1:22" s="141" customFormat="1" ht="19.5" customHeight="1">
      <c r="A727" s="650"/>
      <c r="B727" s="1578" t="s">
        <v>114</v>
      </c>
      <c r="C727" s="1579"/>
      <c r="D727" s="1579"/>
      <c r="E727" s="1579"/>
      <c r="F727" s="1579"/>
      <c r="G727" s="1579"/>
      <c r="H727" s="1579"/>
      <c r="I727" s="1580"/>
      <c r="J727" s="1190">
        <v>0</v>
      </c>
      <c r="K727" s="1191"/>
      <c r="L727" s="1191"/>
      <c r="M727" s="1191"/>
      <c r="N727" s="1575">
        <v>0.1</v>
      </c>
      <c r="O727" s="1576"/>
      <c r="P727" s="1576"/>
      <c r="Q727" s="1577"/>
      <c r="R727" s="1190">
        <f>J727*N727</f>
        <v>0</v>
      </c>
      <c r="S727" s="1191"/>
      <c r="T727" s="1191"/>
      <c r="U727" s="1192"/>
      <c r="V727" s="52"/>
    </row>
    <row r="728" spans="1:22" s="141" customFormat="1" ht="19.5" customHeight="1">
      <c r="A728" s="650"/>
      <c r="B728" s="1578" t="s">
        <v>115</v>
      </c>
      <c r="C728" s="1579"/>
      <c r="D728" s="1579"/>
      <c r="E728" s="1579"/>
      <c r="F728" s="1579"/>
      <c r="G728" s="1579"/>
      <c r="H728" s="1579"/>
      <c r="I728" s="1580"/>
      <c r="J728" s="1190">
        <v>0</v>
      </c>
      <c r="K728" s="1191"/>
      <c r="L728" s="1191"/>
      <c r="M728" s="1191"/>
      <c r="N728" s="1575">
        <v>0.5</v>
      </c>
      <c r="O728" s="1576"/>
      <c r="P728" s="1576"/>
      <c r="Q728" s="1577"/>
      <c r="R728" s="1190">
        <f>J728*N728</f>
        <v>0</v>
      </c>
      <c r="S728" s="1191"/>
      <c r="T728" s="1191"/>
      <c r="U728" s="1192"/>
      <c r="V728" s="52"/>
    </row>
    <row r="729" spans="1:22" s="141" customFormat="1" ht="19.5" customHeight="1">
      <c r="A729" s="650"/>
      <c r="B729" s="1578" t="s">
        <v>116</v>
      </c>
      <c r="C729" s="1579"/>
      <c r="D729" s="1579"/>
      <c r="E729" s="1579"/>
      <c r="F729" s="1579"/>
      <c r="G729" s="1579"/>
      <c r="H729" s="1579"/>
      <c r="I729" s="1580"/>
      <c r="J729" s="1190">
        <v>0</v>
      </c>
      <c r="K729" s="1191"/>
      <c r="L729" s="1191"/>
      <c r="M729" s="1191"/>
      <c r="N729" s="1575">
        <v>1</v>
      </c>
      <c r="O729" s="1576"/>
      <c r="P729" s="1576"/>
      <c r="Q729" s="1577"/>
      <c r="R729" s="1190">
        <f>J729*N729</f>
        <v>0</v>
      </c>
      <c r="S729" s="1191"/>
      <c r="T729" s="1191"/>
      <c r="U729" s="1192"/>
      <c r="V729" s="52"/>
    </row>
    <row r="730" spans="1:22" s="141" customFormat="1" ht="19.5" customHeight="1">
      <c r="A730" s="650"/>
      <c r="B730" s="1578" t="s">
        <v>10</v>
      </c>
      <c r="C730" s="1579"/>
      <c r="D730" s="1579"/>
      <c r="E730" s="1579"/>
      <c r="F730" s="1579"/>
      <c r="G730" s="1579"/>
      <c r="H730" s="1579"/>
      <c r="I730" s="1580"/>
      <c r="J730" s="1190">
        <f>SUM(J726:M729)</f>
        <v>0</v>
      </c>
      <c r="K730" s="1191"/>
      <c r="L730" s="1191"/>
      <c r="M730" s="1191"/>
      <c r="N730" s="1600"/>
      <c r="O730" s="1601"/>
      <c r="P730" s="1601"/>
      <c r="Q730" s="1602"/>
      <c r="R730" s="1190">
        <f>SUM(R726:U729)</f>
        <v>0</v>
      </c>
      <c r="S730" s="1191"/>
      <c r="T730" s="1191"/>
      <c r="U730" s="1192"/>
      <c r="V730" s="52"/>
    </row>
    <row r="731" spans="1:22" s="141" customFormat="1" ht="19.5" customHeight="1">
      <c r="A731" s="650"/>
      <c r="B731" s="1584" t="s">
        <v>1552</v>
      </c>
      <c r="C731" s="1603"/>
      <c r="D731" s="1603"/>
      <c r="E731" s="1603"/>
      <c r="F731" s="1603"/>
      <c r="G731" s="1603"/>
      <c r="H731" s="1603"/>
      <c r="I731" s="1604"/>
      <c r="J731" s="1190"/>
      <c r="K731" s="1191"/>
      <c r="L731" s="1191"/>
      <c r="M731" s="1191"/>
      <c r="N731" s="1600"/>
      <c r="O731" s="1601"/>
      <c r="P731" s="1601"/>
      <c r="Q731" s="1602"/>
      <c r="R731" s="1190"/>
      <c r="S731" s="1191"/>
      <c r="T731" s="1191"/>
      <c r="U731" s="1192"/>
      <c r="V731" s="52"/>
    </row>
    <row r="732" spans="1:22" s="141" customFormat="1" ht="19.5" customHeight="1">
      <c r="A732" s="650"/>
      <c r="B732" s="1578" t="s">
        <v>113</v>
      </c>
      <c r="C732" s="1598"/>
      <c r="D732" s="1598"/>
      <c r="E732" s="1598"/>
      <c r="F732" s="1598"/>
      <c r="G732" s="1598"/>
      <c r="H732" s="1598"/>
      <c r="I732" s="1599"/>
      <c r="J732" s="1190">
        <v>0</v>
      </c>
      <c r="K732" s="1191"/>
      <c r="L732" s="1191"/>
      <c r="M732" s="1191"/>
      <c r="N732" s="1575">
        <v>0</v>
      </c>
      <c r="O732" s="1576"/>
      <c r="P732" s="1576"/>
      <c r="Q732" s="1577"/>
      <c r="R732" s="1190">
        <f>J732*N732</f>
        <v>0</v>
      </c>
      <c r="S732" s="1191"/>
      <c r="T732" s="1191"/>
      <c r="U732" s="1192"/>
      <c r="V732" s="52"/>
    </row>
    <row r="733" spans="1:22" s="141" customFormat="1" ht="19.5" customHeight="1">
      <c r="A733" s="650"/>
      <c r="B733" s="1578" t="s">
        <v>114</v>
      </c>
      <c r="C733" s="1598"/>
      <c r="D733" s="1598"/>
      <c r="E733" s="1598"/>
      <c r="F733" s="1598"/>
      <c r="G733" s="1598"/>
      <c r="H733" s="1598"/>
      <c r="I733" s="1599"/>
      <c r="J733" s="1190">
        <v>0</v>
      </c>
      <c r="K733" s="1191"/>
      <c r="L733" s="1191"/>
      <c r="M733" s="1191"/>
      <c r="N733" s="1575">
        <v>0.1</v>
      </c>
      <c r="O733" s="1576"/>
      <c r="P733" s="1576"/>
      <c r="Q733" s="1577"/>
      <c r="R733" s="1190">
        <f>J733*N733</f>
        <v>0</v>
      </c>
      <c r="S733" s="1191"/>
      <c r="T733" s="1191"/>
      <c r="U733" s="1192"/>
      <c r="V733" s="52"/>
    </row>
    <row r="734" spans="1:22" s="141" customFormat="1" ht="19.5" customHeight="1">
      <c r="A734" s="650"/>
      <c r="B734" s="1578" t="s">
        <v>115</v>
      </c>
      <c r="C734" s="1598"/>
      <c r="D734" s="1598"/>
      <c r="E734" s="1598"/>
      <c r="F734" s="1598"/>
      <c r="G734" s="1598"/>
      <c r="H734" s="1598"/>
      <c r="I734" s="1599"/>
      <c r="J734" s="1190">
        <v>0</v>
      </c>
      <c r="K734" s="1191"/>
      <c r="L734" s="1191"/>
      <c r="M734" s="1191"/>
      <c r="N734" s="1575">
        <v>0.5</v>
      </c>
      <c r="O734" s="1576"/>
      <c r="P734" s="1576"/>
      <c r="Q734" s="1577"/>
      <c r="R734" s="1190">
        <f>J734*N734</f>
        <v>0</v>
      </c>
      <c r="S734" s="1191"/>
      <c r="T734" s="1191"/>
      <c r="U734" s="1192"/>
      <c r="V734" s="52"/>
    </row>
    <row r="735" spans="1:22" s="141" customFormat="1" ht="19.5" customHeight="1">
      <c r="A735" s="650"/>
      <c r="B735" s="1578" t="s">
        <v>116</v>
      </c>
      <c r="C735" s="1598"/>
      <c r="D735" s="1598"/>
      <c r="E735" s="1598"/>
      <c r="F735" s="1598"/>
      <c r="G735" s="1598"/>
      <c r="H735" s="1598"/>
      <c r="I735" s="1599"/>
      <c r="J735" s="1190">
        <v>0</v>
      </c>
      <c r="K735" s="1191"/>
      <c r="L735" s="1191"/>
      <c r="M735" s="1191"/>
      <c r="N735" s="1575">
        <v>1</v>
      </c>
      <c r="O735" s="1576"/>
      <c r="P735" s="1576"/>
      <c r="Q735" s="1577"/>
      <c r="R735" s="1190">
        <f>J735*N735</f>
        <v>0</v>
      </c>
      <c r="S735" s="1191"/>
      <c r="T735" s="1191"/>
      <c r="U735" s="1192"/>
      <c r="V735" s="52"/>
    </row>
    <row r="736" spans="1:22" s="141" customFormat="1" ht="19.5" customHeight="1">
      <c r="A736" s="650"/>
      <c r="B736" s="1578" t="s">
        <v>10</v>
      </c>
      <c r="C736" s="1598"/>
      <c r="D736" s="1598"/>
      <c r="E736" s="1598"/>
      <c r="F736" s="1598"/>
      <c r="G736" s="1598"/>
      <c r="H736" s="1598"/>
      <c r="I736" s="1599"/>
      <c r="J736" s="1190">
        <f>SUM(J732:M735)</f>
        <v>0</v>
      </c>
      <c r="K736" s="1191"/>
      <c r="L736" s="1191"/>
      <c r="M736" s="1191"/>
      <c r="N736" s="1600"/>
      <c r="O736" s="1601"/>
      <c r="P736" s="1601"/>
      <c r="Q736" s="1602"/>
      <c r="R736" s="1190">
        <f>SUM(R732:U735)</f>
        <v>0</v>
      </c>
      <c r="S736" s="1191"/>
      <c r="T736" s="1191"/>
      <c r="U736" s="1192"/>
      <c r="V736" s="52"/>
    </row>
    <row r="737" spans="1:22" s="141" customFormat="1" ht="19.5" customHeight="1">
      <c r="A737" s="650"/>
      <c r="B737" s="1584" t="s">
        <v>1553</v>
      </c>
      <c r="C737" s="1603"/>
      <c r="D737" s="1603"/>
      <c r="E737" s="1603"/>
      <c r="F737" s="1603"/>
      <c r="G737" s="1603"/>
      <c r="H737" s="1603"/>
      <c r="I737" s="1604"/>
      <c r="J737" s="1190"/>
      <c r="K737" s="1191"/>
      <c r="L737" s="1191"/>
      <c r="M737" s="1191"/>
      <c r="N737" s="1600"/>
      <c r="O737" s="1601"/>
      <c r="P737" s="1601"/>
      <c r="Q737" s="1602"/>
      <c r="R737" s="1190"/>
      <c r="S737" s="1191"/>
      <c r="T737" s="1191"/>
      <c r="U737" s="1192"/>
      <c r="V737" s="52"/>
    </row>
    <row r="738" spans="1:22" s="141" customFormat="1" ht="19.5" customHeight="1">
      <c r="A738" s="650"/>
      <c r="B738" s="1578" t="s">
        <v>113</v>
      </c>
      <c r="C738" s="1598"/>
      <c r="D738" s="1598"/>
      <c r="E738" s="1598"/>
      <c r="F738" s="1598"/>
      <c r="G738" s="1598"/>
      <c r="H738" s="1598"/>
      <c r="I738" s="1599"/>
      <c r="J738" s="1190">
        <v>0</v>
      </c>
      <c r="K738" s="1191"/>
      <c r="L738" s="1191"/>
      <c r="M738" s="1191"/>
      <c r="N738" s="1575">
        <v>0</v>
      </c>
      <c r="O738" s="1576"/>
      <c r="P738" s="1576"/>
      <c r="Q738" s="1577"/>
      <c r="R738" s="1190">
        <f>J738*N738</f>
        <v>0</v>
      </c>
      <c r="S738" s="1191"/>
      <c r="T738" s="1191"/>
      <c r="U738" s="1192"/>
      <c r="V738" s="52"/>
    </row>
    <row r="739" spans="1:22" s="141" customFormat="1" ht="19.5" customHeight="1">
      <c r="A739" s="650"/>
      <c r="B739" s="1578" t="s">
        <v>114</v>
      </c>
      <c r="C739" s="1598"/>
      <c r="D739" s="1598"/>
      <c r="E739" s="1598"/>
      <c r="F739" s="1598"/>
      <c r="G739" s="1598"/>
      <c r="H739" s="1598"/>
      <c r="I739" s="1599"/>
      <c r="J739" s="1190">
        <v>0</v>
      </c>
      <c r="K739" s="1191"/>
      <c r="L739" s="1191"/>
      <c r="M739" s="1191"/>
      <c r="N739" s="1575">
        <v>0.1</v>
      </c>
      <c r="O739" s="1576"/>
      <c r="P739" s="1576"/>
      <c r="Q739" s="1577"/>
      <c r="R739" s="1190">
        <f>J739*N739</f>
        <v>0</v>
      </c>
      <c r="S739" s="1191"/>
      <c r="T739" s="1191"/>
      <c r="U739" s="1192"/>
      <c r="V739" s="52"/>
    </row>
    <row r="740" spans="1:22" s="141" customFormat="1" ht="19.5" customHeight="1">
      <c r="A740" s="650"/>
      <c r="B740" s="1578" t="s">
        <v>115</v>
      </c>
      <c r="C740" s="1598"/>
      <c r="D740" s="1598"/>
      <c r="E740" s="1598"/>
      <c r="F740" s="1598"/>
      <c r="G740" s="1598"/>
      <c r="H740" s="1598"/>
      <c r="I740" s="1599"/>
      <c r="J740" s="1190">
        <v>0</v>
      </c>
      <c r="K740" s="1191"/>
      <c r="L740" s="1191"/>
      <c r="M740" s="1191"/>
      <c r="N740" s="1575">
        <v>0.5</v>
      </c>
      <c r="O740" s="1576"/>
      <c r="P740" s="1576"/>
      <c r="Q740" s="1577"/>
      <c r="R740" s="1190">
        <f>J740*N740</f>
        <v>0</v>
      </c>
      <c r="S740" s="1191"/>
      <c r="T740" s="1191"/>
      <c r="U740" s="1192"/>
      <c r="V740" s="52"/>
    </row>
    <row r="741" spans="1:22" s="141" customFormat="1" ht="19.5" customHeight="1">
      <c r="A741" s="753"/>
      <c r="B741" s="1578" t="s">
        <v>116</v>
      </c>
      <c r="C741" s="1598"/>
      <c r="D741" s="1598"/>
      <c r="E741" s="1598"/>
      <c r="F741" s="1598"/>
      <c r="G741" s="1598"/>
      <c r="H741" s="1598"/>
      <c r="I741" s="1599"/>
      <c r="J741" s="1190">
        <v>0</v>
      </c>
      <c r="K741" s="1191"/>
      <c r="L741" s="1191"/>
      <c r="M741" s="1191"/>
      <c r="N741" s="1575">
        <v>1</v>
      </c>
      <c r="O741" s="1576"/>
      <c r="P741" s="1576"/>
      <c r="Q741" s="1577"/>
      <c r="R741" s="1190">
        <f>J741*N741</f>
        <v>0</v>
      </c>
      <c r="S741" s="1191"/>
      <c r="T741" s="1191"/>
      <c r="U741" s="1192"/>
      <c r="V741" s="52"/>
    </row>
    <row r="742" spans="1:22" s="141" customFormat="1" ht="19.5" customHeight="1">
      <c r="A742" s="753"/>
      <c r="B742" s="1578" t="s">
        <v>10</v>
      </c>
      <c r="C742" s="1598"/>
      <c r="D742" s="1598"/>
      <c r="E742" s="1598"/>
      <c r="F742" s="1598"/>
      <c r="G742" s="1598"/>
      <c r="H742" s="1598"/>
      <c r="I742" s="1599"/>
      <c r="J742" s="1190">
        <f>SUM(J738:M741)</f>
        <v>0</v>
      </c>
      <c r="K742" s="1191"/>
      <c r="L742" s="1191"/>
      <c r="M742" s="1191"/>
      <c r="N742" s="1600"/>
      <c r="O742" s="1601"/>
      <c r="P742" s="1601"/>
      <c r="Q742" s="1602"/>
      <c r="R742" s="1190">
        <f>SUM(R738:U741)</f>
        <v>0</v>
      </c>
      <c r="S742" s="1191"/>
      <c r="T742" s="1191"/>
      <c r="U742" s="1192"/>
      <c r="V742" s="52"/>
    </row>
    <row r="743" spans="1:22" s="141" customFormat="1" ht="35.25" customHeight="1">
      <c r="A743" s="753"/>
      <c r="B743" s="1233" t="s">
        <v>130</v>
      </c>
      <c r="C743" s="1234"/>
      <c r="D743" s="1234"/>
      <c r="E743" s="1234"/>
      <c r="F743" s="1234"/>
      <c r="G743" s="1234"/>
      <c r="H743" s="1234"/>
      <c r="I743" s="1235"/>
      <c r="J743" s="1206">
        <f>SUM(J730+J736+J742)</f>
        <v>0</v>
      </c>
      <c r="K743" s="1207"/>
      <c r="L743" s="1207"/>
      <c r="M743" s="1207"/>
      <c r="N743" s="1606"/>
      <c r="O743" s="1607"/>
      <c r="P743" s="1607"/>
      <c r="Q743" s="1608"/>
      <c r="R743" s="1206">
        <f>SUM(R730+R736+R742)</f>
        <v>0</v>
      </c>
      <c r="S743" s="1207"/>
      <c r="T743" s="1207"/>
      <c r="U743" s="1208"/>
      <c r="V743" s="52"/>
    </row>
    <row r="744" spans="1:22" s="141" customFormat="1" ht="11.25" customHeight="1">
      <c r="A744" s="754"/>
      <c r="B744" s="71"/>
      <c r="C744" s="71"/>
      <c r="D744" s="755"/>
      <c r="E744" s="755"/>
      <c r="F744" s="755"/>
      <c r="G744" s="755"/>
      <c r="H744" s="755"/>
      <c r="I744" s="755"/>
      <c r="J744" s="756"/>
      <c r="K744" s="756"/>
      <c r="L744" s="756"/>
      <c r="M744" s="756"/>
      <c r="N744" s="757"/>
      <c r="O744" s="757"/>
      <c r="P744" s="757"/>
      <c r="Q744" s="757"/>
      <c r="R744" s="756"/>
      <c r="S744" s="756"/>
      <c r="T744" s="756"/>
      <c r="U744" s="756"/>
      <c r="V744" s="52"/>
    </row>
    <row r="745" spans="1:22" s="141" customFormat="1" ht="48" customHeight="1">
      <c r="A745" s="82"/>
      <c r="B745" s="52"/>
      <c r="C745" s="52"/>
      <c r="D745" s="1469" t="str">
        <f>"Dari tabel diatas dapat diketahui bahwa jumlah penyisihan piutang tidak tertagih sebesar Rp. "&amp;FIXED(R743)&amp;" dikategorikan menjadi 4, yaitu :"</f>
        <v>Dari tabel diatas dapat diketahui bahwa jumlah penyisihan piutang tidak tertagih sebesar Rp. 0.00 dikategorikan menjadi 4, yaitu :</v>
      </c>
      <c r="E745" s="1469"/>
      <c r="F745" s="1469"/>
      <c r="G745" s="1469"/>
      <c r="H745" s="1469"/>
      <c r="I745" s="1469"/>
      <c r="J745" s="1469"/>
      <c r="K745" s="1469"/>
      <c r="L745" s="1469"/>
      <c r="M745" s="1469"/>
      <c r="N745" s="1469"/>
      <c r="O745" s="1469"/>
      <c r="P745" s="1469"/>
      <c r="Q745" s="1469"/>
      <c r="R745" s="1469"/>
      <c r="S745" s="1469"/>
      <c r="T745" s="1469"/>
      <c r="U745" s="1469"/>
      <c r="V745" s="52"/>
    </row>
    <row r="746" spans="1:22" s="141" customFormat="1" ht="17.25" customHeight="1">
      <c r="A746" s="82"/>
      <c r="B746" s="52"/>
      <c r="C746" s="52"/>
      <c r="D746" s="758">
        <v>1</v>
      </c>
      <c r="E746" s="1226" t="s">
        <v>113</v>
      </c>
      <c r="F746" s="1226"/>
      <c r="G746" s="1226"/>
      <c r="H746" s="1226"/>
      <c r="I746" s="1226"/>
      <c r="J746" s="1226"/>
      <c r="K746" s="1226"/>
      <c r="L746" s="1226"/>
      <c r="M746" s="1226"/>
      <c r="N746" s="702" t="s">
        <v>1554</v>
      </c>
      <c r="O746" s="1588">
        <f>R726+R732+R738</f>
        <v>0</v>
      </c>
      <c r="P746" s="1588"/>
      <c r="Q746" s="1588"/>
      <c r="R746" s="1588"/>
      <c r="S746" s="1588"/>
      <c r="T746" s="758"/>
      <c r="U746" s="758"/>
      <c r="V746" s="52"/>
    </row>
    <row r="747" spans="1:22" s="141" customFormat="1" ht="17.25" customHeight="1">
      <c r="A747" s="82"/>
      <c r="B747" s="52"/>
      <c r="C747" s="52"/>
      <c r="D747" s="758">
        <v>2</v>
      </c>
      <c r="E747" s="1226" t="s">
        <v>114</v>
      </c>
      <c r="F747" s="1226"/>
      <c r="G747" s="1226"/>
      <c r="H747" s="1226"/>
      <c r="I747" s="1226"/>
      <c r="J747" s="1226"/>
      <c r="K747" s="1226"/>
      <c r="L747" s="1226"/>
      <c r="M747" s="1226"/>
      <c r="N747" s="702" t="s">
        <v>1554</v>
      </c>
      <c r="O747" s="1588">
        <f>R727+R733+R739</f>
        <v>0</v>
      </c>
      <c r="P747" s="1588"/>
      <c r="Q747" s="1588"/>
      <c r="R747" s="1588"/>
      <c r="S747" s="1588"/>
      <c r="T747" s="758"/>
      <c r="U747" s="758"/>
      <c r="V747" s="52"/>
    </row>
    <row r="748" spans="1:22" s="141" customFormat="1" ht="17.25" customHeight="1">
      <c r="A748" s="82"/>
      <c r="B748" s="52"/>
      <c r="C748" s="52"/>
      <c r="D748" s="758">
        <v>3</v>
      </c>
      <c r="E748" s="1226" t="s">
        <v>115</v>
      </c>
      <c r="F748" s="1226"/>
      <c r="G748" s="1226"/>
      <c r="H748" s="1226"/>
      <c r="I748" s="1226"/>
      <c r="J748" s="1226"/>
      <c r="K748" s="1226"/>
      <c r="L748" s="1226"/>
      <c r="M748" s="1226"/>
      <c r="N748" s="702" t="s">
        <v>1554</v>
      </c>
      <c r="O748" s="1588">
        <f>R728+R734+R740</f>
        <v>0</v>
      </c>
      <c r="P748" s="1588"/>
      <c r="Q748" s="1588"/>
      <c r="R748" s="1588"/>
      <c r="S748" s="1588"/>
      <c r="T748" s="758"/>
      <c r="U748" s="758"/>
      <c r="V748" s="52"/>
    </row>
    <row r="749" spans="1:22" s="141" customFormat="1" ht="18" customHeight="1">
      <c r="A749" s="82"/>
      <c r="B749" s="52"/>
      <c r="C749" s="52"/>
      <c r="D749" s="692">
        <v>4</v>
      </c>
      <c r="E749" s="1432" t="s">
        <v>116</v>
      </c>
      <c r="F749" s="1432"/>
      <c r="G749" s="1432"/>
      <c r="H749" s="1432"/>
      <c r="I749" s="1432"/>
      <c r="J749" s="1432"/>
      <c r="K749" s="1432"/>
      <c r="L749" s="1432"/>
      <c r="M749" s="1432"/>
      <c r="N749" s="702" t="s">
        <v>1554</v>
      </c>
      <c r="O749" s="1588">
        <f>R729+R735+R741</f>
        <v>0</v>
      </c>
      <c r="P749" s="1588"/>
      <c r="Q749" s="1588"/>
      <c r="R749" s="1588"/>
      <c r="S749" s="1588"/>
      <c r="T749" s="654"/>
      <c r="U749" s="654"/>
      <c r="V749" s="52"/>
    </row>
    <row r="750" spans="1:22" s="141" customFormat="1" ht="6.75" customHeight="1">
      <c r="A750" s="82"/>
      <c r="B750" s="52"/>
      <c r="C750" s="52"/>
      <c r="D750" s="692"/>
      <c r="E750" s="721"/>
      <c r="F750" s="721"/>
      <c r="G750" s="721"/>
      <c r="H750" s="721"/>
      <c r="I750" s="721"/>
      <c r="J750" s="721"/>
      <c r="K750" s="721"/>
      <c r="L750" s="721"/>
      <c r="M750" s="721"/>
      <c r="N750" s="702"/>
      <c r="O750" s="759"/>
      <c r="P750" s="759"/>
      <c r="Q750" s="759"/>
      <c r="R750" s="759"/>
      <c r="S750" s="759"/>
      <c r="T750" s="654"/>
      <c r="U750" s="654"/>
      <c r="V750" s="52"/>
    </row>
    <row r="751" spans="1:22" s="141" customFormat="1" ht="16.5" customHeight="1">
      <c r="A751" s="82"/>
      <c r="B751" s="647"/>
      <c r="C751" s="1587" t="s">
        <v>1685</v>
      </c>
      <c r="D751" s="1587"/>
      <c r="E751" s="1587"/>
      <c r="F751" s="1587"/>
      <c r="G751" s="1587"/>
      <c r="H751" s="1587"/>
      <c r="I751" s="1587"/>
      <c r="J751" s="1587"/>
      <c r="K751" s="1587"/>
      <c r="L751" s="1587"/>
      <c r="M751" s="1587"/>
      <c r="N751" s="1587"/>
      <c r="O751" s="1587"/>
      <c r="P751" s="1587"/>
      <c r="Q751" s="1587"/>
      <c r="R751" s="1587"/>
      <c r="S751" s="1587"/>
      <c r="T751" s="1587"/>
      <c r="U751" s="1587"/>
      <c r="V751" s="52"/>
    </row>
    <row r="752" spans="1:35" s="141" customFormat="1" ht="49.5" customHeight="1">
      <c r="A752" s="82"/>
      <c r="C752" s="12"/>
      <c r="D752" s="1091" t="str">
        <f>"Saldo Beban Dibayar di Muka per tanggal "&amp;'2.ISIAN DATA SKPD'!D8&amp;" dan "&amp;'2.ISIAN DATA SKPD'!D12&amp;" masing-masing adalah sebesar Rp. 0 dan Rp. 0 atau mengalami kenaikan/penurunan sebesar 0 % dari tahun "&amp;'2.ISIAN DATA SKPD'!D12&amp;"."</f>
        <v>Saldo Beban Dibayar di Muka per tanggal 31 Desember 2017 dan 2016 masing-masing adalah sebesar Rp. 0 dan Rp. 0 atau mengalami kenaikan/penurunan sebesar 0 % dari tahun 2016.</v>
      </c>
      <c r="E752" s="1091"/>
      <c r="F752" s="1091"/>
      <c r="G752" s="1091"/>
      <c r="H752" s="1091"/>
      <c r="I752" s="1091"/>
      <c r="J752" s="1091"/>
      <c r="K752" s="1091"/>
      <c r="L752" s="1091"/>
      <c r="M752" s="1091"/>
      <c r="N752" s="1091"/>
      <c r="O752" s="1091"/>
      <c r="P752" s="1091"/>
      <c r="Q752" s="1091"/>
      <c r="R752" s="1091"/>
      <c r="S752" s="1091"/>
      <c r="T752" s="1091"/>
      <c r="U752" s="1091"/>
      <c r="V752" s="1101"/>
      <c r="W752" s="1101"/>
      <c r="X752" s="1101"/>
      <c r="Y752" s="1101"/>
      <c r="Z752" s="1101"/>
      <c r="AA752" s="1101"/>
      <c r="AB752" s="1101"/>
      <c r="AC752" s="1101"/>
      <c r="AD752" s="1101"/>
      <c r="AE752" s="1101"/>
      <c r="AF752" s="1101"/>
      <c r="AG752" s="1101"/>
      <c r="AH752" s="1101"/>
      <c r="AI752" s="1101"/>
    </row>
    <row r="753" spans="1:22" s="141" customFormat="1" ht="77.25" customHeight="1">
      <c r="A753" s="82"/>
      <c r="C753" s="12"/>
      <c r="D753" s="1226" t="s">
        <v>1556</v>
      </c>
      <c r="E753" s="1226"/>
      <c r="F753" s="1226"/>
      <c r="G753" s="1226"/>
      <c r="H753" s="1226"/>
      <c r="I753" s="1226"/>
      <c r="J753" s="1226"/>
      <c r="K753" s="1226"/>
      <c r="L753" s="1226"/>
      <c r="M753" s="1226"/>
      <c r="N753" s="1226"/>
      <c r="O753" s="1226"/>
      <c r="P753" s="1226"/>
      <c r="Q753" s="1226"/>
      <c r="R753" s="1226"/>
      <c r="S753" s="1226"/>
      <c r="T753" s="1226"/>
      <c r="U753" s="1226"/>
      <c r="V753" s="52"/>
    </row>
    <row r="754" spans="1:22" s="141" customFormat="1" ht="6.75" customHeight="1">
      <c r="A754" s="82"/>
      <c r="C754" s="702"/>
      <c r="D754" s="702"/>
      <c r="E754" s="702"/>
      <c r="F754" s="702"/>
      <c r="G754" s="702"/>
      <c r="H754" s="702"/>
      <c r="I754" s="702"/>
      <c r="J754" s="702"/>
      <c r="K754" s="702"/>
      <c r="L754" s="702"/>
      <c r="M754" s="702"/>
      <c r="N754" s="702"/>
      <c r="O754" s="702"/>
      <c r="P754" s="702"/>
      <c r="Q754" s="702"/>
      <c r="R754" s="702"/>
      <c r="S754" s="702"/>
      <c r="T754" s="702"/>
      <c r="U754" s="702"/>
      <c r="V754" s="52"/>
    </row>
    <row r="755" spans="1:22" s="141" customFormat="1" ht="15" customHeight="1">
      <c r="A755" s="82"/>
      <c r="B755" s="1088" t="s">
        <v>1555</v>
      </c>
      <c r="C755" s="1088"/>
      <c r="D755" s="1088"/>
      <c r="E755" s="1088"/>
      <c r="F755" s="1088"/>
      <c r="G755" s="1088"/>
      <c r="H755" s="1088"/>
      <c r="I755" s="1088"/>
      <c r="J755" s="1088"/>
      <c r="K755" s="1088"/>
      <c r="L755" s="1088"/>
      <c r="M755" s="1088"/>
      <c r="N755" s="1088"/>
      <c r="O755" s="1088"/>
      <c r="P755" s="1088"/>
      <c r="Q755" s="1088"/>
      <c r="R755" s="1088"/>
      <c r="S755" s="1088"/>
      <c r="T755" s="1088"/>
      <c r="U755" s="1088"/>
      <c r="V755" s="52"/>
    </row>
    <row r="756" spans="1:32" s="141" customFormat="1" ht="21" customHeight="1">
      <c r="A756" s="82"/>
      <c r="B756" s="1448" t="s">
        <v>28</v>
      </c>
      <c r="C756" s="1449"/>
      <c r="D756" s="1449"/>
      <c r="E756" s="1449"/>
      <c r="F756" s="1449"/>
      <c r="G756" s="1449"/>
      <c r="H756" s="1450"/>
      <c r="I756" s="1097">
        <f>J668</f>
        <v>2017</v>
      </c>
      <c r="J756" s="1098"/>
      <c r="K756" s="1098"/>
      <c r="L756" s="1098"/>
      <c r="M756" s="1099"/>
      <c r="N756" s="1097">
        <f>O668</f>
        <v>2016</v>
      </c>
      <c r="O756" s="1098"/>
      <c r="P756" s="1098"/>
      <c r="Q756" s="1098"/>
      <c r="R756" s="1098"/>
      <c r="S756" s="1097" t="s">
        <v>1248</v>
      </c>
      <c r="T756" s="1098"/>
      <c r="U756" s="1099"/>
      <c r="V756" s="1087"/>
      <c r="W756" s="1100"/>
      <c r="X756" s="1100"/>
      <c r="Y756" s="1092"/>
      <c r="Z756" s="1046"/>
      <c r="AA756" s="1046"/>
      <c r="AB756" s="1046"/>
      <c r="AC756" s="1092" t="s">
        <v>1675</v>
      </c>
      <c r="AD756" s="1046"/>
      <c r="AE756" s="1046"/>
      <c r="AF756" s="1046"/>
    </row>
    <row r="757" spans="1:32" s="141" customFormat="1" ht="32.25" customHeight="1">
      <c r="A757" s="82"/>
      <c r="B757" s="1547" t="str">
        <f>'4.NERACA'!C38</f>
        <v>Beban Pegawai  Dibayar Dimuka</v>
      </c>
      <c r="C757" s="1547"/>
      <c r="D757" s="1547"/>
      <c r="E757" s="1547"/>
      <c r="F757" s="1547"/>
      <c r="G757" s="1547"/>
      <c r="H757" s="1547"/>
      <c r="I757" s="1204">
        <f>'4.NERACA'!I37</f>
        <v>0</v>
      </c>
      <c r="J757" s="1205"/>
      <c r="K757" s="1205"/>
      <c r="L757" s="1205"/>
      <c r="M757" s="1205"/>
      <c r="N757" s="1204">
        <f>'4.NERACA'!D37</f>
        <v>0</v>
      </c>
      <c r="O757" s="1205"/>
      <c r="P757" s="1205"/>
      <c r="Q757" s="1205"/>
      <c r="R757" s="1205"/>
      <c r="S757" s="1096">
        <v>0</v>
      </c>
      <c r="T757" s="1096"/>
      <c r="U757" s="1096"/>
      <c r="V757" s="1041"/>
      <c r="W757" s="1042"/>
      <c r="X757" s="1042"/>
      <c r="Y757" s="1045"/>
      <c r="Z757" s="1046"/>
      <c r="AA757" s="1046"/>
      <c r="AB757" s="1046"/>
      <c r="AC757" s="1045">
        <f aca="true" t="shared" si="24" ref="AC757:AC762">I757-N757</f>
        <v>0</v>
      </c>
      <c r="AD757" s="1046"/>
      <c r="AE757" s="1046"/>
      <c r="AF757" s="1046"/>
    </row>
    <row r="758" spans="1:32" s="141" customFormat="1" ht="32.25" customHeight="1">
      <c r="A758" s="82"/>
      <c r="B758" s="1547" t="str">
        <f>'4.NERACA'!C39</f>
        <v>Beban Barang Dibayar Dimuka</v>
      </c>
      <c r="C758" s="1547"/>
      <c r="D758" s="1547"/>
      <c r="E758" s="1547"/>
      <c r="F758" s="1547"/>
      <c r="G758" s="1547"/>
      <c r="H758" s="1547"/>
      <c r="I758" s="1204">
        <f>'4.NERACA'!I38</f>
        <v>0</v>
      </c>
      <c r="J758" s="1205"/>
      <c r="K758" s="1205"/>
      <c r="L758" s="1205"/>
      <c r="M758" s="1205"/>
      <c r="N758" s="1204">
        <f>'4.NERACA'!D38</f>
        <v>0</v>
      </c>
      <c r="O758" s="1205"/>
      <c r="P758" s="1205"/>
      <c r="Q758" s="1205"/>
      <c r="R758" s="1205"/>
      <c r="S758" s="1096">
        <v>0</v>
      </c>
      <c r="T758" s="1096"/>
      <c r="U758" s="1096"/>
      <c r="V758" s="1041"/>
      <c r="W758" s="1042"/>
      <c r="X758" s="1042"/>
      <c r="Y758" s="1045"/>
      <c r="Z758" s="1046"/>
      <c r="AA758" s="1046"/>
      <c r="AB758" s="1046"/>
      <c r="AC758" s="1045">
        <f t="shared" si="24"/>
        <v>0</v>
      </c>
      <c r="AD758" s="1046"/>
      <c r="AE758" s="1046"/>
      <c r="AF758" s="1046"/>
    </row>
    <row r="759" spans="1:32" s="141" customFormat="1" ht="27" customHeight="1">
      <c r="A759" s="754"/>
      <c r="B759" s="1547" t="str">
        <f>'4.NERACA'!C40</f>
        <v>Beban Jasa Dibayar Dimuka</v>
      </c>
      <c r="C759" s="1547"/>
      <c r="D759" s="1547"/>
      <c r="E759" s="1547"/>
      <c r="F759" s="1547"/>
      <c r="G759" s="1547"/>
      <c r="H759" s="1547"/>
      <c r="I759" s="1204">
        <f>'4.NERACA'!I39</f>
        <v>0</v>
      </c>
      <c r="J759" s="1205"/>
      <c r="K759" s="1205"/>
      <c r="L759" s="1205"/>
      <c r="M759" s="1205"/>
      <c r="N759" s="1204">
        <f>'4.NERACA'!D40</f>
        <v>0</v>
      </c>
      <c r="O759" s="1205"/>
      <c r="P759" s="1205"/>
      <c r="Q759" s="1205"/>
      <c r="R759" s="1205"/>
      <c r="S759" s="1096">
        <v>0</v>
      </c>
      <c r="T759" s="1096"/>
      <c r="U759" s="1096"/>
      <c r="V759" s="1041"/>
      <c r="W759" s="1042"/>
      <c r="X759" s="1042"/>
      <c r="Y759" s="1045"/>
      <c r="Z759" s="1046"/>
      <c r="AA759" s="1046"/>
      <c r="AB759" s="1046"/>
      <c r="AC759" s="1045">
        <f t="shared" si="24"/>
        <v>0</v>
      </c>
      <c r="AD759" s="1046"/>
      <c r="AE759" s="1046"/>
      <c r="AF759" s="1046"/>
    </row>
    <row r="760" spans="1:32" s="141" customFormat="1" ht="31.5" customHeight="1">
      <c r="A760" s="753"/>
      <c r="B760" s="1547" t="str">
        <f>'4.NERACA'!C41</f>
        <v>Beban Pemeliharaan Dibayar Dimuka</v>
      </c>
      <c r="C760" s="1547"/>
      <c r="D760" s="1547"/>
      <c r="E760" s="1547"/>
      <c r="F760" s="1547"/>
      <c r="G760" s="1547"/>
      <c r="H760" s="1547"/>
      <c r="I760" s="1204">
        <f>'4.NERACA'!I40</f>
        <v>0</v>
      </c>
      <c r="J760" s="1205"/>
      <c r="K760" s="1205"/>
      <c r="L760" s="1205"/>
      <c r="M760" s="1205"/>
      <c r="N760" s="1204">
        <f>'4.NERACA'!D41</f>
        <v>0</v>
      </c>
      <c r="O760" s="1205"/>
      <c r="P760" s="1205"/>
      <c r="Q760" s="1205"/>
      <c r="R760" s="1205"/>
      <c r="S760" s="1096">
        <v>0</v>
      </c>
      <c r="T760" s="1096"/>
      <c r="U760" s="1096"/>
      <c r="V760" s="1041"/>
      <c r="W760" s="1042"/>
      <c r="X760" s="1042"/>
      <c r="Y760" s="1045"/>
      <c r="Z760" s="1046"/>
      <c r="AA760" s="1046"/>
      <c r="AB760" s="1046"/>
      <c r="AC760" s="1045">
        <f t="shared" si="24"/>
        <v>0</v>
      </c>
      <c r="AD760" s="1046"/>
      <c r="AE760" s="1046"/>
      <c r="AF760" s="1046"/>
    </row>
    <row r="761" spans="1:32" s="141" customFormat="1" ht="20.25" customHeight="1">
      <c r="A761" s="753"/>
      <c r="B761" s="1547" t="str">
        <f>'4.NERACA'!C42</f>
        <v>Beban Lainnya</v>
      </c>
      <c r="C761" s="1547"/>
      <c r="D761" s="1547"/>
      <c r="E761" s="1547"/>
      <c r="F761" s="1547"/>
      <c r="G761" s="1547"/>
      <c r="H761" s="1547"/>
      <c r="I761" s="1204">
        <f>'4.NERACA'!I41</f>
        <v>0</v>
      </c>
      <c r="J761" s="1205"/>
      <c r="K761" s="1205"/>
      <c r="L761" s="1205"/>
      <c r="M761" s="1205"/>
      <c r="N761" s="1204">
        <f>'4.NERACA'!D42</f>
        <v>0</v>
      </c>
      <c r="O761" s="1205"/>
      <c r="P761" s="1205"/>
      <c r="Q761" s="1205"/>
      <c r="R761" s="1205"/>
      <c r="S761" s="1096">
        <v>0</v>
      </c>
      <c r="T761" s="1096"/>
      <c r="U761" s="1096"/>
      <c r="V761" s="1041"/>
      <c r="W761" s="1042"/>
      <c r="X761" s="1042"/>
      <c r="Y761" s="1045"/>
      <c r="Z761" s="1046"/>
      <c r="AA761" s="1046"/>
      <c r="AB761" s="1046"/>
      <c r="AC761" s="1045">
        <f t="shared" si="24"/>
        <v>0</v>
      </c>
      <c r="AD761" s="1046"/>
      <c r="AE761" s="1046"/>
      <c r="AF761" s="1046"/>
    </row>
    <row r="762" spans="1:32" s="141" customFormat="1" ht="22.5" customHeight="1">
      <c r="A762" s="82"/>
      <c r="B762" s="760" t="s">
        <v>10</v>
      </c>
      <c r="C762" s="675"/>
      <c r="D762" s="675"/>
      <c r="E762" s="675"/>
      <c r="F762" s="675"/>
      <c r="G762" s="675"/>
      <c r="H762" s="675"/>
      <c r="I762" s="1096">
        <f>SUM(I757:P761)</f>
        <v>0</v>
      </c>
      <c r="J762" s="1096"/>
      <c r="K762" s="1096"/>
      <c r="L762" s="1096"/>
      <c r="M762" s="1096"/>
      <c r="N762" s="1096">
        <f>SUM(N757:R761)</f>
        <v>0</v>
      </c>
      <c r="O762" s="1096"/>
      <c r="P762" s="1096"/>
      <c r="Q762" s="1096"/>
      <c r="R762" s="1096"/>
      <c r="S762" s="1096">
        <v>0</v>
      </c>
      <c r="T762" s="1096"/>
      <c r="U762" s="1096"/>
      <c r="V762" s="1041"/>
      <c r="W762" s="1042"/>
      <c r="X762" s="1042"/>
      <c r="Y762" s="1045"/>
      <c r="Z762" s="1046"/>
      <c r="AA762" s="1046"/>
      <c r="AB762" s="1046"/>
      <c r="AC762" s="1045">
        <f t="shared" si="24"/>
        <v>0</v>
      </c>
      <c r="AD762" s="1046"/>
      <c r="AE762" s="1046"/>
      <c r="AF762" s="1046"/>
    </row>
    <row r="763" spans="1:22" s="141" customFormat="1" ht="18" customHeight="1">
      <c r="A763" s="82"/>
      <c r="B763" s="37"/>
      <c r="C763" s="37"/>
      <c r="D763" s="37"/>
      <c r="E763" s="37"/>
      <c r="F763" s="37"/>
      <c r="G763" s="37"/>
      <c r="H763" s="37"/>
      <c r="I763" s="37"/>
      <c r="J763" s="37"/>
      <c r="K763" s="37"/>
      <c r="L763" s="37"/>
      <c r="M763" s="37"/>
      <c r="N763" s="37"/>
      <c r="O763" s="37"/>
      <c r="P763" s="37"/>
      <c r="Q763" s="37"/>
      <c r="R763" s="37"/>
      <c r="S763" s="37"/>
      <c r="T763" s="654"/>
      <c r="U763" s="654"/>
      <c r="V763" s="52"/>
    </row>
    <row r="764" spans="1:22" s="141" customFormat="1" ht="16.5" customHeight="1">
      <c r="A764" s="82"/>
      <c r="B764" s="647"/>
      <c r="C764" s="1089" t="s">
        <v>1557</v>
      </c>
      <c r="D764" s="1090"/>
      <c r="E764" s="1090"/>
      <c r="F764" s="1090"/>
      <c r="G764" s="1090"/>
      <c r="H764" s="1090"/>
      <c r="I764" s="1090"/>
      <c r="J764" s="1090"/>
      <c r="K764" s="1090"/>
      <c r="L764" s="1090"/>
      <c r="M764" s="1090"/>
      <c r="N764" s="1090"/>
      <c r="O764" s="1090"/>
      <c r="P764" s="1090"/>
      <c r="Q764" s="1090"/>
      <c r="R764" s="1090"/>
      <c r="S764" s="1090"/>
      <c r="T764" s="1090"/>
      <c r="U764" s="1090"/>
      <c r="V764" s="52"/>
    </row>
    <row r="765" spans="1:22" s="141" customFormat="1" ht="60.75" customHeight="1">
      <c r="A765" s="82"/>
      <c r="C765" s="1091" t="str">
        <f>"Nilai Persediaan per "&amp;'2.ISIAN DATA SKPD'!D8&amp;"  dan "&amp;'2.ISIAN DATA SKPD'!D12&amp;" masing-masing adalah sebesar Rp. "&amp;FIXED(I773)&amp;" dan Rp. "&amp;FIXED(N773)&amp;" mengalami kenaikan/penurunan sebesar Rp. "&amp;FIXED(AC773)&amp;" atau sebesar "&amp;FIXED(S773)&amp;"% dari tahun "&amp;'2.ISIAN DATA SKPD'!D12&amp;"."</f>
        <v>Nilai Persediaan per 31 Desember 2017  dan 2016 masing-masing adalah sebesar Rp. 222,000,000.00 dan Rp. 222,000,000.00 mengalami kenaikan/penurunan sebesar Rp. 0.00 atau sebesar 0.00% dari tahun 2016.</v>
      </c>
      <c r="D765" s="1091"/>
      <c r="E765" s="1091"/>
      <c r="F765" s="1091"/>
      <c r="G765" s="1091"/>
      <c r="H765" s="1091"/>
      <c r="I765" s="1091"/>
      <c r="J765" s="1091"/>
      <c r="K765" s="1091"/>
      <c r="L765" s="1091"/>
      <c r="M765" s="1091"/>
      <c r="N765" s="1091"/>
      <c r="O765" s="1091"/>
      <c r="P765" s="1091"/>
      <c r="Q765" s="1091"/>
      <c r="R765" s="1091"/>
      <c r="S765" s="1091"/>
      <c r="T765" s="1091"/>
      <c r="U765" s="1091"/>
      <c r="V765" s="52"/>
    </row>
    <row r="766" spans="1:22" s="141" customFormat="1" ht="79.5" customHeight="1">
      <c r="A766" s="82"/>
      <c r="C766" s="1091" t="str">
        <f>"Persediaan adalah aset lancar dalam bentuk barang atau perlengkapan yang dimaksudkan untuk mendukung kegiatan operasional pemerintah, dan/atau untuk dijual, dan/atau diserahkan dalam rangka pelayanan kepada masyarakat. Rincian Persediaan per "&amp;'2.ISIAN DATA SKPD'!D8&amp;" dan "&amp;'2.ISIAN DATA SKPD'!D12&amp;"  adalah sebagai berikut: "</f>
        <v>Persediaan adalah aset lancar dalam bentuk barang atau perlengkapan yang dimaksudkan untuk mendukung kegiatan operasional pemerintah, dan/atau untuk dijual, dan/atau diserahkan dalam rangka pelayanan kepada masyarakat. Rincian Persediaan per 31 Desember 2017 dan 2016  adalah sebagai berikut: </v>
      </c>
      <c r="D766" s="1091"/>
      <c r="E766" s="1091"/>
      <c r="F766" s="1091"/>
      <c r="G766" s="1091"/>
      <c r="H766" s="1091"/>
      <c r="I766" s="1091"/>
      <c r="J766" s="1091"/>
      <c r="K766" s="1091"/>
      <c r="L766" s="1091"/>
      <c r="M766" s="1091"/>
      <c r="N766" s="1091"/>
      <c r="O766" s="1091"/>
      <c r="P766" s="1091"/>
      <c r="Q766" s="1091"/>
      <c r="R766" s="1091"/>
      <c r="S766" s="1091"/>
      <c r="T766" s="1091"/>
      <c r="U766" s="1091"/>
      <c r="V766" s="52"/>
    </row>
    <row r="767" spans="1:22" s="141" customFormat="1" ht="15">
      <c r="A767" s="82"/>
      <c r="C767" s="702"/>
      <c r="D767" s="702"/>
      <c r="E767" s="702"/>
      <c r="F767" s="702"/>
      <c r="G767" s="702"/>
      <c r="H767" s="702"/>
      <c r="I767" s="702"/>
      <c r="J767" s="702"/>
      <c r="K767" s="702"/>
      <c r="L767" s="702"/>
      <c r="M767" s="702"/>
      <c r="N767" s="702"/>
      <c r="O767" s="702"/>
      <c r="P767" s="702"/>
      <c r="Q767" s="702"/>
      <c r="R767" s="702"/>
      <c r="S767" s="702"/>
      <c r="T767" s="702"/>
      <c r="U767" s="702"/>
      <c r="V767" s="52"/>
    </row>
    <row r="768" spans="1:22" s="141" customFormat="1" ht="15" customHeight="1">
      <c r="A768" s="82"/>
      <c r="B768" s="1088" t="s">
        <v>132</v>
      </c>
      <c r="C768" s="1088"/>
      <c r="D768" s="1088"/>
      <c r="E768" s="1088"/>
      <c r="F768" s="1088"/>
      <c r="G768" s="1088"/>
      <c r="H768" s="1088"/>
      <c r="I768" s="1088"/>
      <c r="J768" s="1088"/>
      <c r="K768" s="1088"/>
      <c r="L768" s="1088"/>
      <c r="M768" s="1088"/>
      <c r="N768" s="1088"/>
      <c r="O768" s="1088"/>
      <c r="P768" s="1088"/>
      <c r="Q768" s="1088"/>
      <c r="R768" s="1088"/>
      <c r="S768" s="1088"/>
      <c r="T768" s="1088"/>
      <c r="U768" s="1088"/>
      <c r="V768" s="52"/>
    </row>
    <row r="769" spans="1:32" s="141" customFormat="1" ht="19.5" customHeight="1">
      <c r="A769" s="82"/>
      <c r="B769" s="1558" t="s">
        <v>131</v>
      </c>
      <c r="C769" s="1595"/>
      <c r="D769" s="1595"/>
      <c r="E769" s="1595"/>
      <c r="F769" s="1595"/>
      <c r="G769" s="1595"/>
      <c r="H769" s="1596"/>
      <c r="I769" s="1097">
        <f>I756</f>
        <v>2017</v>
      </c>
      <c r="J769" s="1098"/>
      <c r="K769" s="1098"/>
      <c r="L769" s="1098"/>
      <c r="M769" s="1099"/>
      <c r="N769" s="1097">
        <f>N756</f>
        <v>2016</v>
      </c>
      <c r="O769" s="1098"/>
      <c r="P769" s="1098"/>
      <c r="Q769" s="1098"/>
      <c r="R769" s="1098"/>
      <c r="S769" s="1097" t="s">
        <v>1248</v>
      </c>
      <c r="T769" s="1098"/>
      <c r="U769" s="1099"/>
      <c r="V769" s="1087"/>
      <c r="W769" s="1075"/>
      <c r="X769" s="1076"/>
      <c r="Y769" s="1084"/>
      <c r="Z769" s="1075"/>
      <c r="AA769" s="1075"/>
      <c r="AB769" s="1076"/>
      <c r="AC769" s="1092" t="s">
        <v>1675</v>
      </c>
      <c r="AD769" s="1046"/>
      <c r="AE769" s="1046"/>
      <c r="AF769" s="1046"/>
    </row>
    <row r="770" spans="1:32" s="141" customFormat="1" ht="29.25" customHeight="1">
      <c r="A770" s="82"/>
      <c r="B770" s="1093" t="str">
        <f>'4.NERACA'!C44</f>
        <v>Persediaan Bahan Pakai Habis</v>
      </c>
      <c r="C770" s="1094"/>
      <c r="D770" s="1094"/>
      <c r="E770" s="1094"/>
      <c r="F770" s="1094"/>
      <c r="G770" s="1094"/>
      <c r="H770" s="1095"/>
      <c r="I770" s="1096">
        <f>'4.NERACA'!I44</f>
        <v>0</v>
      </c>
      <c r="J770" s="1096"/>
      <c r="K770" s="1096"/>
      <c r="L770" s="1096"/>
      <c r="M770" s="1096"/>
      <c r="N770" s="1096">
        <f>'4.NERACA'!D44</f>
        <v>0</v>
      </c>
      <c r="O770" s="1096"/>
      <c r="P770" s="1096"/>
      <c r="Q770" s="1096"/>
      <c r="R770" s="1096"/>
      <c r="S770" s="1096">
        <v>0</v>
      </c>
      <c r="T770" s="1096"/>
      <c r="U770" s="1096"/>
      <c r="V770" s="1041"/>
      <c r="W770" s="1075"/>
      <c r="X770" s="1076"/>
      <c r="Y770" s="1084"/>
      <c r="Z770" s="1075"/>
      <c r="AA770" s="1075"/>
      <c r="AB770" s="1076"/>
      <c r="AC770" s="1045">
        <f>I770-N770</f>
        <v>0</v>
      </c>
      <c r="AD770" s="1046"/>
      <c r="AE770" s="1046"/>
      <c r="AF770" s="1046"/>
    </row>
    <row r="771" spans="1:32" s="141" customFormat="1" ht="29.25" customHeight="1">
      <c r="A771" s="82"/>
      <c r="B771" s="1093" t="str">
        <f>'4.NERACA'!C45</f>
        <v>Persediaan Bahan/Material</v>
      </c>
      <c r="C771" s="1094"/>
      <c r="D771" s="1094"/>
      <c r="E771" s="1094"/>
      <c r="F771" s="1094"/>
      <c r="G771" s="1094"/>
      <c r="H771" s="1095"/>
      <c r="I771" s="1096">
        <f>'4.NERACA'!I45</f>
        <v>0</v>
      </c>
      <c r="J771" s="1096"/>
      <c r="K771" s="1096"/>
      <c r="L771" s="1096"/>
      <c r="M771" s="1096"/>
      <c r="N771" s="1096">
        <f>'4.NERACA'!D45</f>
        <v>0</v>
      </c>
      <c r="O771" s="1096"/>
      <c r="P771" s="1096"/>
      <c r="Q771" s="1096"/>
      <c r="R771" s="1096"/>
      <c r="S771" s="1096">
        <v>0</v>
      </c>
      <c r="T771" s="1096"/>
      <c r="U771" s="1096"/>
      <c r="V771" s="1041"/>
      <c r="W771" s="1075"/>
      <c r="X771" s="1076"/>
      <c r="Y771" s="1084"/>
      <c r="Z771" s="1075"/>
      <c r="AA771" s="1075"/>
      <c r="AB771" s="1076"/>
      <c r="AC771" s="1045">
        <f>I771-N771</f>
        <v>0</v>
      </c>
      <c r="AD771" s="1046"/>
      <c r="AE771" s="1046"/>
      <c r="AF771" s="1046"/>
    </row>
    <row r="772" spans="1:32" s="141" customFormat="1" ht="29.25" customHeight="1">
      <c r="A772" s="82"/>
      <c r="B772" s="1093" t="str">
        <f>'4.NERACA'!C46</f>
        <v>Persediaan Barang Lainnya</v>
      </c>
      <c r="C772" s="1094"/>
      <c r="D772" s="1094"/>
      <c r="E772" s="1094"/>
      <c r="F772" s="1094"/>
      <c r="G772" s="1094"/>
      <c r="H772" s="1095"/>
      <c r="I772" s="1096">
        <f>'4.NERACA'!I46</f>
        <v>222000000</v>
      </c>
      <c r="J772" s="1096"/>
      <c r="K772" s="1096"/>
      <c r="L772" s="1096"/>
      <c r="M772" s="1096"/>
      <c r="N772" s="1096">
        <f>'4.NERACA'!D46</f>
        <v>222000000</v>
      </c>
      <c r="O772" s="1096"/>
      <c r="P772" s="1096"/>
      <c r="Q772" s="1096"/>
      <c r="R772" s="1096"/>
      <c r="S772" s="1096">
        <f>(I772-N772)/N772*100</f>
        <v>0</v>
      </c>
      <c r="T772" s="1096"/>
      <c r="U772" s="1096"/>
      <c r="V772" s="1041"/>
      <c r="W772" s="1075"/>
      <c r="X772" s="1076"/>
      <c r="Y772" s="1084"/>
      <c r="Z772" s="1075"/>
      <c r="AA772" s="1075"/>
      <c r="AB772" s="1076"/>
      <c r="AC772" s="1045">
        <f>I772-N772</f>
        <v>0</v>
      </c>
      <c r="AD772" s="1046"/>
      <c r="AE772" s="1046"/>
      <c r="AF772" s="1046"/>
    </row>
    <row r="773" spans="1:32" s="141" customFormat="1" ht="20.25" customHeight="1">
      <c r="A773" s="82"/>
      <c r="B773" s="1620" t="s">
        <v>10</v>
      </c>
      <c r="C773" s="1621"/>
      <c r="D773" s="1621"/>
      <c r="E773" s="1621"/>
      <c r="F773" s="1621"/>
      <c r="G773" s="1621"/>
      <c r="H773" s="1622"/>
      <c r="I773" s="1623">
        <f>SUM(I770:M772)</f>
        <v>222000000</v>
      </c>
      <c r="J773" s="1623"/>
      <c r="K773" s="1623"/>
      <c r="L773" s="1623"/>
      <c r="M773" s="1623"/>
      <c r="N773" s="1623">
        <f>SUM(N770:R772)</f>
        <v>222000000</v>
      </c>
      <c r="O773" s="1623"/>
      <c r="P773" s="1623"/>
      <c r="Q773" s="1623"/>
      <c r="R773" s="1623"/>
      <c r="S773" s="1096">
        <f>(I773-N773)/N773*100</f>
        <v>0</v>
      </c>
      <c r="T773" s="1096"/>
      <c r="U773" s="1096"/>
      <c r="V773" s="1041"/>
      <c r="W773" s="1075"/>
      <c r="X773" s="1076"/>
      <c r="Y773" s="1084"/>
      <c r="Z773" s="1075"/>
      <c r="AA773" s="1075"/>
      <c r="AB773" s="1076"/>
      <c r="AC773" s="1045">
        <f>I773-N773</f>
        <v>0</v>
      </c>
      <c r="AD773" s="1046"/>
      <c r="AE773" s="1046"/>
      <c r="AF773" s="1046"/>
    </row>
    <row r="774" spans="1:22" s="141" customFormat="1" ht="8.25" customHeight="1">
      <c r="A774" s="82"/>
      <c r="B774" s="37"/>
      <c r="C774" s="37"/>
      <c r="D774" s="37"/>
      <c r="E774" s="37"/>
      <c r="F774" s="37"/>
      <c r="G774" s="37"/>
      <c r="H774" s="37"/>
      <c r="I774" s="37"/>
      <c r="J774" s="37"/>
      <c r="K774" s="37"/>
      <c r="L774" s="37"/>
      <c r="M774" s="37"/>
      <c r="N774" s="37"/>
      <c r="O774" s="37"/>
      <c r="P774" s="37"/>
      <c r="Q774" s="37"/>
      <c r="R774" s="37"/>
      <c r="S774" s="37"/>
      <c r="T774" s="654"/>
      <c r="U774" s="654"/>
      <c r="V774" s="52"/>
    </row>
    <row r="775" spans="1:22" s="141" customFormat="1" ht="30" customHeight="1">
      <c r="A775" s="82"/>
      <c r="C775" s="1091" t="s">
        <v>206</v>
      </c>
      <c r="D775" s="1091"/>
      <c r="E775" s="1091"/>
      <c r="F775" s="1091"/>
      <c r="G775" s="1091"/>
      <c r="H775" s="1091"/>
      <c r="I775" s="1091"/>
      <c r="J775" s="1091"/>
      <c r="K775" s="1091"/>
      <c r="L775" s="1091"/>
      <c r="M775" s="1091"/>
      <c r="N775" s="1091"/>
      <c r="O775" s="1091"/>
      <c r="P775" s="1091"/>
      <c r="Q775" s="1091"/>
      <c r="R775" s="1091"/>
      <c r="S775" s="1091"/>
      <c r="T775" s="1091"/>
      <c r="U775" s="1091"/>
      <c r="V775" s="52"/>
    </row>
    <row r="776" spans="1:22" s="141" customFormat="1" ht="18" customHeight="1">
      <c r="A776" s="82"/>
      <c r="C776" s="1091" t="s">
        <v>741</v>
      </c>
      <c r="D776" s="1091"/>
      <c r="E776" s="1091"/>
      <c r="F776" s="1091"/>
      <c r="G776" s="1091"/>
      <c r="H776" s="1091"/>
      <c r="I776" s="1091"/>
      <c r="J776" s="1091"/>
      <c r="K776" s="1091"/>
      <c r="L776" s="1091"/>
      <c r="M776" s="1091"/>
      <c r="N776" s="1091"/>
      <c r="O776" s="1091"/>
      <c r="P776" s="1091"/>
      <c r="Q776" s="1091"/>
      <c r="R776" s="1091"/>
      <c r="S776" s="1091"/>
      <c r="T776" s="1091"/>
      <c r="U776" s="1091"/>
      <c r="V776" s="52"/>
    </row>
    <row r="777" spans="1:22" s="141" customFormat="1" ht="19.5" customHeight="1">
      <c r="A777" s="82"/>
      <c r="C777" s="1407" t="s">
        <v>1249</v>
      </c>
      <c r="D777" s="1407"/>
      <c r="E777" s="1407"/>
      <c r="F777" s="1407"/>
      <c r="G777" s="1407"/>
      <c r="H777" s="1407"/>
      <c r="I777" s="1407"/>
      <c r="J777" s="1407"/>
      <c r="K777" s="1407"/>
      <c r="L777" s="1407"/>
      <c r="M777" s="1407"/>
      <c r="N777" s="1407"/>
      <c r="O777" s="1407"/>
      <c r="P777" s="1407"/>
      <c r="Q777" s="1407"/>
      <c r="R777" s="1407"/>
      <c r="S777" s="1407"/>
      <c r="T777" s="1407"/>
      <c r="U777" s="1407"/>
      <c r="V777" s="52"/>
    </row>
    <row r="778" spans="1:22" s="141" customFormat="1" ht="64.5" customHeight="1">
      <c r="A778" s="82"/>
      <c r="C778" s="741"/>
      <c r="D778" s="1091" t="str">
        <f>"Nilai Persediaan Bahan Pakai Habis sebesar Rp "&amp;FIXED(R788)&amp;" merupakan hasil pengadaan selama tahun anggaran "&amp;'2.ISIAN DATA SKPD'!D11&amp;" yang sampai dengan tanggal 31 Desember "&amp;'2.ISIAN DATA SKPD'!D11&amp;" belum terpakai habis dengan rincian sebagai berikut:"</f>
        <v>Nilai Persediaan Bahan Pakai Habis sebesar Rp 0.00 merupakan hasil pengadaan selama tahun anggaran 2017 yang sampai dengan tanggal 31 Desember 2017 belum terpakai habis dengan rincian sebagai berikut:</v>
      </c>
      <c r="E778" s="1091"/>
      <c r="F778" s="1091"/>
      <c r="G778" s="1091"/>
      <c r="H778" s="1091"/>
      <c r="I778" s="1091"/>
      <c r="J778" s="1091"/>
      <c r="K778" s="1091"/>
      <c r="L778" s="1091"/>
      <c r="M778" s="1091"/>
      <c r="N778" s="1091"/>
      <c r="O778" s="1091"/>
      <c r="P778" s="1091"/>
      <c r="Q778" s="1091"/>
      <c r="R778" s="1091"/>
      <c r="S778" s="1091"/>
      <c r="T778" s="1091"/>
      <c r="U778" s="1091"/>
      <c r="V778" s="52"/>
    </row>
    <row r="779" spans="1:22" s="141" customFormat="1" ht="6.75" customHeight="1">
      <c r="A779" s="82"/>
      <c r="C779" s="741"/>
      <c r="D779" s="702"/>
      <c r="E779" s="702"/>
      <c r="F779" s="702"/>
      <c r="G779" s="702"/>
      <c r="H779" s="702"/>
      <c r="I779" s="702"/>
      <c r="J779" s="702"/>
      <c r="K779" s="702"/>
      <c r="L779" s="702"/>
      <c r="M779" s="702"/>
      <c r="N779" s="702"/>
      <c r="O779" s="702"/>
      <c r="P779" s="702"/>
      <c r="Q779" s="702"/>
      <c r="R779" s="702"/>
      <c r="S779" s="702"/>
      <c r="T779" s="702"/>
      <c r="U779" s="702"/>
      <c r="V779" s="52"/>
    </row>
    <row r="780" spans="1:22" s="141" customFormat="1" ht="27" customHeight="1">
      <c r="A780" s="82"/>
      <c r="B780" s="1183" t="s">
        <v>46</v>
      </c>
      <c r="C780" s="1227" t="s">
        <v>256</v>
      </c>
      <c r="D780" s="1228"/>
      <c r="E780" s="1229"/>
      <c r="F780" s="1164" t="s">
        <v>411</v>
      </c>
      <c r="G780" s="1165"/>
      <c r="H780" s="1165"/>
      <c r="I780" s="1166"/>
      <c r="J780" s="1198" t="str">
        <f>J693</f>
        <v>MUTASI  TA 2017</v>
      </c>
      <c r="K780" s="1199"/>
      <c r="L780" s="1199"/>
      <c r="M780" s="1199"/>
      <c r="N780" s="1199"/>
      <c r="O780" s="1199"/>
      <c r="P780" s="1199"/>
      <c r="Q780" s="1200"/>
      <c r="R780" s="1164" t="s">
        <v>412</v>
      </c>
      <c r="S780" s="1165"/>
      <c r="T780" s="1165"/>
      <c r="U780" s="1166"/>
      <c r="V780" s="52"/>
    </row>
    <row r="781" spans="1:22" s="141" customFormat="1" ht="22.5" customHeight="1">
      <c r="A781" s="82"/>
      <c r="B781" s="1184"/>
      <c r="C781" s="1230"/>
      <c r="D781" s="1231"/>
      <c r="E781" s="1232"/>
      <c r="F781" s="1198">
        <f>F704</f>
        <v>2016</v>
      </c>
      <c r="G781" s="1165"/>
      <c r="H781" s="1165"/>
      <c r="I781" s="1166"/>
      <c r="J781" s="1164" t="s">
        <v>413</v>
      </c>
      <c r="K781" s="1165"/>
      <c r="L781" s="1165"/>
      <c r="M781" s="1166"/>
      <c r="N781" s="1164" t="s">
        <v>433</v>
      </c>
      <c r="O781" s="1165"/>
      <c r="P781" s="1165"/>
      <c r="Q781" s="1166"/>
      <c r="R781" s="1164">
        <f>R704</f>
        <v>2017</v>
      </c>
      <c r="S781" s="1165"/>
      <c r="T781" s="1165"/>
      <c r="U781" s="1166"/>
      <c r="V781" s="52"/>
    </row>
    <row r="782" spans="1:22" s="141" customFormat="1" ht="27" customHeight="1">
      <c r="A782" s="82"/>
      <c r="B782" s="748">
        <v>1</v>
      </c>
      <c r="C782" s="1201" t="s">
        <v>742</v>
      </c>
      <c r="D782" s="1202"/>
      <c r="E782" s="1203"/>
      <c r="F782" s="1185">
        <v>0</v>
      </c>
      <c r="G782" s="1186"/>
      <c r="H782" s="1186" t="s">
        <v>414</v>
      </c>
      <c r="I782" s="1186"/>
      <c r="J782" s="1185">
        <v>0</v>
      </c>
      <c r="K782" s="1186" t="s">
        <v>415</v>
      </c>
      <c r="L782" s="1186"/>
      <c r="M782" s="1186"/>
      <c r="N782" s="1185">
        <v>0</v>
      </c>
      <c r="O782" s="1186" t="s">
        <v>415</v>
      </c>
      <c r="P782" s="1186"/>
      <c r="Q782" s="1186"/>
      <c r="R782" s="1185">
        <f aca="true" t="shared" si="25" ref="R782:R787">F782+J782-N782</f>
        <v>0</v>
      </c>
      <c r="S782" s="1186"/>
      <c r="T782" s="1186" t="s">
        <v>416</v>
      </c>
      <c r="U782" s="1420"/>
      <c r="V782" s="52"/>
    </row>
    <row r="783" spans="1:22" s="141" customFormat="1" ht="19.5" customHeight="1">
      <c r="A783" s="82"/>
      <c r="B783" s="748">
        <v>2</v>
      </c>
      <c r="C783" s="1201" t="s">
        <v>743</v>
      </c>
      <c r="D783" s="1202"/>
      <c r="E783" s="1203"/>
      <c r="F783" s="1185">
        <v>0</v>
      </c>
      <c r="G783" s="1186"/>
      <c r="H783" s="1186"/>
      <c r="I783" s="1186"/>
      <c r="J783" s="1185">
        <v>0</v>
      </c>
      <c r="K783" s="1186"/>
      <c r="L783" s="1186"/>
      <c r="M783" s="1186"/>
      <c r="N783" s="1185">
        <v>0</v>
      </c>
      <c r="O783" s="1186"/>
      <c r="P783" s="1186"/>
      <c r="Q783" s="1186"/>
      <c r="R783" s="1185">
        <f t="shared" si="25"/>
        <v>0</v>
      </c>
      <c r="S783" s="1186"/>
      <c r="T783" s="1186" t="s">
        <v>434</v>
      </c>
      <c r="U783" s="1420"/>
      <c r="V783" s="52"/>
    </row>
    <row r="784" spans="1:22" s="141" customFormat="1" ht="23.25" customHeight="1">
      <c r="A784" s="82"/>
      <c r="B784" s="748">
        <v>3</v>
      </c>
      <c r="C784" s="1201" t="s">
        <v>744</v>
      </c>
      <c r="D784" s="1202"/>
      <c r="E784" s="1203"/>
      <c r="F784" s="1185">
        <v>0</v>
      </c>
      <c r="G784" s="1186"/>
      <c r="H784" s="1186"/>
      <c r="I784" s="1186"/>
      <c r="J784" s="1185">
        <v>0</v>
      </c>
      <c r="K784" s="1186"/>
      <c r="L784" s="1186"/>
      <c r="M784" s="1186"/>
      <c r="N784" s="1185">
        <v>0</v>
      </c>
      <c r="O784" s="1186"/>
      <c r="P784" s="1186"/>
      <c r="Q784" s="1186"/>
      <c r="R784" s="1185">
        <f t="shared" si="25"/>
        <v>0</v>
      </c>
      <c r="S784" s="1186"/>
      <c r="T784" s="1186"/>
      <c r="U784" s="1420"/>
      <c r="V784" s="52"/>
    </row>
    <row r="785" spans="1:22" s="141" customFormat="1" ht="24.75" customHeight="1">
      <c r="A785" s="82"/>
      <c r="B785" s="748">
        <v>4</v>
      </c>
      <c r="C785" s="1201" t="s">
        <v>745</v>
      </c>
      <c r="D785" s="1202"/>
      <c r="E785" s="1203"/>
      <c r="F785" s="1185">
        <v>0</v>
      </c>
      <c r="G785" s="1186"/>
      <c r="H785" s="1186"/>
      <c r="I785" s="1186"/>
      <c r="J785" s="1185">
        <v>0</v>
      </c>
      <c r="K785" s="1186"/>
      <c r="L785" s="1186"/>
      <c r="M785" s="1186"/>
      <c r="N785" s="1185">
        <v>0</v>
      </c>
      <c r="O785" s="1186"/>
      <c r="P785" s="1186"/>
      <c r="Q785" s="1186"/>
      <c r="R785" s="1185">
        <f t="shared" si="25"/>
        <v>0</v>
      </c>
      <c r="S785" s="1186"/>
      <c r="T785" s="1186"/>
      <c r="U785" s="1420"/>
      <c r="V785" s="52"/>
    </row>
    <row r="786" spans="1:22" s="141" customFormat="1" ht="28.5" customHeight="1">
      <c r="A786" s="82"/>
      <c r="B786" s="748">
        <v>5</v>
      </c>
      <c r="C786" s="1201" t="s">
        <v>746</v>
      </c>
      <c r="D786" s="1202"/>
      <c r="E786" s="1203"/>
      <c r="F786" s="1185">
        <v>0</v>
      </c>
      <c r="G786" s="1186"/>
      <c r="H786" s="1186"/>
      <c r="I786" s="1186"/>
      <c r="J786" s="1185">
        <v>0</v>
      </c>
      <c r="K786" s="1186"/>
      <c r="L786" s="1186"/>
      <c r="M786" s="1186"/>
      <c r="N786" s="1185">
        <v>0</v>
      </c>
      <c r="O786" s="1186"/>
      <c r="P786" s="1186"/>
      <c r="Q786" s="1186"/>
      <c r="R786" s="1185">
        <f t="shared" si="25"/>
        <v>0</v>
      </c>
      <c r="S786" s="1186"/>
      <c r="T786" s="1186" t="s">
        <v>437</v>
      </c>
      <c r="U786" s="1420"/>
      <c r="V786" s="52"/>
    </row>
    <row r="787" spans="1:22" s="141" customFormat="1" ht="24.75" customHeight="1">
      <c r="A787" s="82"/>
      <c r="B787" s="748">
        <v>6</v>
      </c>
      <c r="C787" s="1201" t="s">
        <v>747</v>
      </c>
      <c r="D787" s="1202"/>
      <c r="E787" s="1203"/>
      <c r="F787" s="1185">
        <v>0</v>
      </c>
      <c r="G787" s="1186"/>
      <c r="H787" s="1186"/>
      <c r="I787" s="1186"/>
      <c r="J787" s="1185">
        <v>0</v>
      </c>
      <c r="K787" s="1186"/>
      <c r="L787" s="1186"/>
      <c r="M787" s="1186"/>
      <c r="N787" s="1185">
        <v>0</v>
      </c>
      <c r="O787" s="1186"/>
      <c r="P787" s="1186"/>
      <c r="Q787" s="1186"/>
      <c r="R787" s="1185">
        <f t="shared" si="25"/>
        <v>0</v>
      </c>
      <c r="S787" s="1186"/>
      <c r="T787" s="1186" t="s">
        <v>438</v>
      </c>
      <c r="U787" s="1420"/>
      <c r="V787" s="52"/>
    </row>
    <row r="788" spans="1:22" s="141" customFormat="1" ht="17.25" customHeight="1">
      <c r="A788" s="82"/>
      <c r="B788" s="761"/>
      <c r="C788" s="1589" t="s">
        <v>10</v>
      </c>
      <c r="D788" s="1590"/>
      <c r="E788" s="1591"/>
      <c r="F788" s="1206">
        <f>SUM(F782:I787)</f>
        <v>0</v>
      </c>
      <c r="G788" s="1207"/>
      <c r="H788" s="1207" t="s">
        <v>424</v>
      </c>
      <c r="I788" s="1207"/>
      <c r="J788" s="1206">
        <f>SUM(J782:M787)</f>
        <v>0</v>
      </c>
      <c r="K788" s="1207"/>
      <c r="L788" s="1207"/>
      <c r="M788" s="1207"/>
      <c r="N788" s="1206">
        <f>SUM(N782:Q787)</f>
        <v>0</v>
      </c>
      <c r="O788" s="1207"/>
      <c r="P788" s="1207" t="s">
        <v>737</v>
      </c>
      <c r="Q788" s="1207"/>
      <c r="R788" s="1206">
        <f>SUM(R782:U787)</f>
        <v>0</v>
      </c>
      <c r="S788" s="1207"/>
      <c r="T788" s="1207" t="s">
        <v>738</v>
      </c>
      <c r="U788" s="1208"/>
      <c r="V788" s="52"/>
    </row>
    <row r="789" spans="1:22" s="141" customFormat="1" ht="8.25" customHeight="1">
      <c r="A789" s="82"/>
      <c r="B789" s="654"/>
      <c r="C789" s="654"/>
      <c r="D789" s="654"/>
      <c r="E789" s="654"/>
      <c r="F789" s="654"/>
      <c r="G789" s="654"/>
      <c r="H789" s="654"/>
      <c r="I789" s="654"/>
      <c r="J789" s="654"/>
      <c r="K789" s="654"/>
      <c r="L789" s="654"/>
      <c r="M789" s="654"/>
      <c r="N789" s="654"/>
      <c r="O789" s="654"/>
      <c r="P789" s="654"/>
      <c r="Q789" s="654"/>
      <c r="R789" s="654"/>
      <c r="S789" s="654"/>
      <c r="T789" s="654"/>
      <c r="U789" s="654"/>
      <c r="V789" s="52"/>
    </row>
    <row r="790" spans="1:22" s="141" customFormat="1" ht="19.5" customHeight="1">
      <c r="A790" s="82"/>
      <c r="C790" s="1089" t="s">
        <v>1228</v>
      </c>
      <c r="D790" s="1089"/>
      <c r="E790" s="1089"/>
      <c r="F790" s="1089"/>
      <c r="G790" s="1089"/>
      <c r="H790" s="1089"/>
      <c r="I790" s="1089"/>
      <c r="J790" s="1089"/>
      <c r="K790" s="1089"/>
      <c r="L790" s="1089"/>
      <c r="M790" s="1089"/>
      <c r="N790" s="1089"/>
      <c r="O790" s="1089"/>
      <c r="P790" s="1089"/>
      <c r="Q790" s="1089"/>
      <c r="R790" s="1089"/>
      <c r="S790" s="1089"/>
      <c r="T790" s="1089"/>
      <c r="U790" s="1089"/>
      <c r="V790" s="52"/>
    </row>
    <row r="791" spans="1:22" s="141" customFormat="1" ht="58.5" customHeight="1">
      <c r="A791" s="82"/>
      <c r="C791" s="741"/>
      <c r="D791" s="1091" t="str">
        <f>"Nilai Persediaan Bahan/Material sebesar Rp "&amp;FIXED(R799)&amp;" merupakan hasil pengadaan selama tahun anggaran "&amp;'2.ISIAN DATA SKPD'!D11&amp;" yang sampai dengan tanggal 31 Desember "&amp;'2.ISIAN DATA SKPD'!D11&amp;" belum terpakai habis dengan rincian sebagai berikut:"</f>
        <v>Nilai Persediaan Bahan/Material sebesar Rp 0.00 merupakan hasil pengadaan selama tahun anggaran 2017 yang sampai dengan tanggal 31 Desember 2017 belum terpakai habis dengan rincian sebagai berikut:</v>
      </c>
      <c r="E791" s="1091"/>
      <c r="F791" s="1091"/>
      <c r="G791" s="1091"/>
      <c r="H791" s="1091"/>
      <c r="I791" s="1091"/>
      <c r="J791" s="1091"/>
      <c r="K791" s="1091"/>
      <c r="L791" s="1091"/>
      <c r="M791" s="1091"/>
      <c r="N791" s="1091"/>
      <c r="O791" s="1091"/>
      <c r="P791" s="1091"/>
      <c r="Q791" s="1091"/>
      <c r="R791" s="1091"/>
      <c r="S791" s="1091"/>
      <c r="T791" s="1091"/>
      <c r="U791" s="1091"/>
      <c r="V791" s="52"/>
    </row>
    <row r="792" spans="1:22" s="141" customFormat="1" ht="6" customHeight="1">
      <c r="A792" s="82"/>
      <c r="C792" s="741"/>
      <c r="D792" s="702"/>
      <c r="E792" s="702"/>
      <c r="F792" s="702"/>
      <c r="G792" s="702"/>
      <c r="H792" s="702"/>
      <c r="I792" s="702"/>
      <c r="J792" s="702"/>
      <c r="K792" s="702"/>
      <c r="L792" s="702"/>
      <c r="M792" s="702"/>
      <c r="N792" s="702"/>
      <c r="O792" s="702"/>
      <c r="P792" s="702"/>
      <c r="Q792" s="702"/>
      <c r="R792" s="702"/>
      <c r="S792" s="702"/>
      <c r="T792" s="702"/>
      <c r="U792" s="702"/>
      <c r="V792" s="52"/>
    </row>
    <row r="793" spans="1:22" s="141" customFormat="1" ht="24.75" customHeight="1">
      <c r="A793" s="82"/>
      <c r="B793" s="1183" t="s">
        <v>46</v>
      </c>
      <c r="C793" s="1227" t="s">
        <v>256</v>
      </c>
      <c r="D793" s="1228"/>
      <c r="E793" s="1229"/>
      <c r="F793" s="1164" t="s">
        <v>411</v>
      </c>
      <c r="G793" s="1165"/>
      <c r="H793" s="1165"/>
      <c r="I793" s="1166"/>
      <c r="J793" s="1198" t="str">
        <f>J780</f>
        <v>MUTASI  TA 2017</v>
      </c>
      <c r="K793" s="1199"/>
      <c r="L793" s="1199"/>
      <c r="M793" s="1199"/>
      <c r="N793" s="1199"/>
      <c r="O793" s="1199"/>
      <c r="P793" s="1199"/>
      <c r="Q793" s="1200"/>
      <c r="R793" s="1164" t="s">
        <v>412</v>
      </c>
      <c r="S793" s="1165"/>
      <c r="T793" s="1165"/>
      <c r="U793" s="1166"/>
      <c r="V793" s="52"/>
    </row>
    <row r="794" spans="1:32" s="141" customFormat="1" ht="24.75" customHeight="1">
      <c r="A794" s="82"/>
      <c r="B794" s="1184"/>
      <c r="C794" s="1230"/>
      <c r="D794" s="1231"/>
      <c r="E794" s="1232"/>
      <c r="F794" s="1198">
        <f>F781</f>
        <v>2016</v>
      </c>
      <c r="G794" s="1165"/>
      <c r="H794" s="1165"/>
      <c r="I794" s="1166"/>
      <c r="J794" s="1164" t="s">
        <v>413</v>
      </c>
      <c r="K794" s="1165"/>
      <c r="L794" s="1165"/>
      <c r="M794" s="1166"/>
      <c r="N794" s="1164" t="s">
        <v>433</v>
      </c>
      <c r="O794" s="1165"/>
      <c r="P794" s="1165"/>
      <c r="Q794" s="1166"/>
      <c r="R794" s="1164">
        <f>R781</f>
        <v>2017</v>
      </c>
      <c r="S794" s="1165"/>
      <c r="T794" s="1165"/>
      <c r="U794" s="1166"/>
      <c r="V794" s="1745"/>
      <c r="W794" s="1745"/>
      <c r="X794" s="1745"/>
      <c r="Y794" s="1746"/>
      <c r="Z794" s="1083"/>
      <c r="AA794" s="1083"/>
      <c r="AB794" s="1083"/>
      <c r="AC794" s="1746"/>
      <c r="AD794" s="1083"/>
      <c r="AE794" s="1083"/>
      <c r="AF794" s="1083"/>
    </row>
    <row r="795" spans="1:32" s="141" customFormat="1" ht="27" customHeight="1">
      <c r="A795" s="82"/>
      <c r="B795" s="748">
        <v>1</v>
      </c>
      <c r="C795" s="1619" t="s">
        <v>748</v>
      </c>
      <c r="D795" s="1117"/>
      <c r="E795" s="1424"/>
      <c r="F795" s="1185">
        <v>0</v>
      </c>
      <c r="G795" s="1186"/>
      <c r="H795" s="1186" t="s">
        <v>414</v>
      </c>
      <c r="I795" s="1186"/>
      <c r="J795" s="1185">
        <v>0</v>
      </c>
      <c r="K795" s="1186" t="s">
        <v>415</v>
      </c>
      <c r="L795" s="1186"/>
      <c r="M795" s="1186"/>
      <c r="N795" s="1185">
        <v>0</v>
      </c>
      <c r="O795" s="1186" t="s">
        <v>415</v>
      </c>
      <c r="P795" s="1186"/>
      <c r="Q795" s="1186"/>
      <c r="R795" s="1185">
        <f>F795+J795-N795</f>
        <v>0</v>
      </c>
      <c r="S795" s="1186"/>
      <c r="T795" s="1186" t="s">
        <v>416</v>
      </c>
      <c r="U795" s="1420"/>
      <c r="V795" s="1081"/>
      <c r="W795" s="1081"/>
      <c r="X795" s="1081"/>
      <c r="Y795" s="1082"/>
      <c r="Z795" s="1083"/>
      <c r="AA795" s="1083"/>
      <c r="AB795" s="1083"/>
      <c r="AC795" s="1082"/>
      <c r="AD795" s="1083"/>
      <c r="AE795" s="1083"/>
      <c r="AF795" s="1083"/>
    </row>
    <row r="796" spans="1:32" s="141" customFormat="1" ht="22.5" customHeight="1">
      <c r="A796" s="82"/>
      <c r="B796" s="748">
        <v>2</v>
      </c>
      <c r="C796" s="1619" t="s">
        <v>749</v>
      </c>
      <c r="D796" s="1117"/>
      <c r="E796" s="1424"/>
      <c r="F796" s="1185">
        <v>0</v>
      </c>
      <c r="G796" s="1186"/>
      <c r="H796" s="1186" t="s">
        <v>752</v>
      </c>
      <c r="I796" s="1186"/>
      <c r="J796" s="1185">
        <v>0</v>
      </c>
      <c r="K796" s="1186" t="s">
        <v>753</v>
      </c>
      <c r="L796" s="1186"/>
      <c r="M796" s="1186"/>
      <c r="N796" s="1185">
        <v>0</v>
      </c>
      <c r="O796" s="1186" t="s">
        <v>753</v>
      </c>
      <c r="P796" s="1186"/>
      <c r="Q796" s="1186"/>
      <c r="R796" s="1185">
        <f>F796+J796-N796</f>
        <v>0</v>
      </c>
      <c r="S796" s="1186"/>
      <c r="T796" s="1186" t="s">
        <v>434</v>
      </c>
      <c r="U796" s="1420"/>
      <c r="V796" s="1081"/>
      <c r="W796" s="1081"/>
      <c r="X796" s="1081"/>
      <c r="Y796" s="1082"/>
      <c r="Z796" s="1083"/>
      <c r="AA796" s="1083"/>
      <c r="AB796" s="1083"/>
      <c r="AC796" s="1082"/>
      <c r="AD796" s="1083"/>
      <c r="AE796" s="1083"/>
      <c r="AF796" s="1083"/>
    </row>
    <row r="797" spans="1:32" s="141" customFormat="1" ht="18.75" customHeight="1">
      <c r="A797" s="82"/>
      <c r="B797" s="748">
        <v>3</v>
      </c>
      <c r="C797" s="1619" t="s">
        <v>750</v>
      </c>
      <c r="D797" s="1117"/>
      <c r="E797" s="1424"/>
      <c r="F797" s="1185">
        <v>0</v>
      </c>
      <c r="G797" s="1186"/>
      <c r="H797" s="1186" t="s">
        <v>754</v>
      </c>
      <c r="I797" s="1186"/>
      <c r="J797" s="1185">
        <v>0</v>
      </c>
      <c r="K797" s="1186" t="s">
        <v>755</v>
      </c>
      <c r="L797" s="1186"/>
      <c r="M797" s="1186"/>
      <c r="N797" s="1185">
        <v>0</v>
      </c>
      <c r="O797" s="1186" t="s">
        <v>755</v>
      </c>
      <c r="P797" s="1186"/>
      <c r="Q797" s="1186"/>
      <c r="R797" s="1185">
        <f>F797+J797-N797</f>
        <v>0</v>
      </c>
      <c r="S797" s="1186"/>
      <c r="T797" s="1186" t="s">
        <v>435</v>
      </c>
      <c r="U797" s="1420"/>
      <c r="V797" s="1081"/>
      <c r="W797" s="1081"/>
      <c r="X797" s="1081"/>
      <c r="Y797" s="1082"/>
      <c r="Z797" s="1083"/>
      <c r="AA797" s="1083"/>
      <c r="AB797" s="1083"/>
      <c r="AC797" s="1082"/>
      <c r="AD797" s="1083"/>
      <c r="AE797" s="1083"/>
      <c r="AF797" s="1083"/>
    </row>
    <row r="798" spans="1:32" s="141" customFormat="1" ht="18.75" customHeight="1">
      <c r="A798" s="82"/>
      <c r="B798" s="748">
        <v>4</v>
      </c>
      <c r="C798" s="1619" t="s">
        <v>751</v>
      </c>
      <c r="D798" s="1117"/>
      <c r="E798" s="1424"/>
      <c r="F798" s="1185">
        <v>0</v>
      </c>
      <c r="G798" s="1186"/>
      <c r="H798" s="1186" t="s">
        <v>756</v>
      </c>
      <c r="I798" s="1186"/>
      <c r="J798" s="1185">
        <v>0</v>
      </c>
      <c r="K798" s="1186" t="s">
        <v>757</v>
      </c>
      <c r="L798" s="1186"/>
      <c r="M798" s="1186"/>
      <c r="N798" s="1185">
        <v>0</v>
      </c>
      <c r="O798" s="1186" t="s">
        <v>757</v>
      </c>
      <c r="P798" s="1186"/>
      <c r="Q798" s="1186"/>
      <c r="R798" s="1185">
        <f>F798+J798-N798</f>
        <v>0</v>
      </c>
      <c r="S798" s="1186"/>
      <c r="T798" s="1186" t="s">
        <v>436</v>
      </c>
      <c r="U798" s="1420"/>
      <c r="V798" s="1081"/>
      <c r="W798" s="1081"/>
      <c r="X798" s="1081"/>
      <c r="Y798" s="1082"/>
      <c r="Z798" s="1083"/>
      <c r="AA798" s="1083"/>
      <c r="AB798" s="1083"/>
      <c r="AC798" s="1082"/>
      <c r="AD798" s="1083"/>
      <c r="AE798" s="1083"/>
      <c r="AF798" s="1083"/>
    </row>
    <row r="799" spans="1:32" s="141" customFormat="1" ht="14.25" customHeight="1">
      <c r="A799" s="82"/>
      <c r="B799" s="751"/>
      <c r="C799" s="1589" t="s">
        <v>10</v>
      </c>
      <c r="D799" s="1590"/>
      <c r="E799" s="1591"/>
      <c r="F799" s="1196">
        <f>SUM(F795:I798)</f>
        <v>0</v>
      </c>
      <c r="G799" s="1197"/>
      <c r="H799" s="1197" t="s">
        <v>424</v>
      </c>
      <c r="I799" s="1197"/>
      <c r="J799" s="1196">
        <f>SUM(J795:M798)</f>
        <v>0</v>
      </c>
      <c r="K799" s="1197"/>
      <c r="L799" s="1197" t="s">
        <v>425</v>
      </c>
      <c r="M799" s="1197"/>
      <c r="N799" s="1196">
        <f>SUM(N795:Q798)</f>
        <v>0</v>
      </c>
      <c r="O799" s="1197"/>
      <c r="P799" s="1197" t="s">
        <v>737</v>
      </c>
      <c r="Q799" s="1197"/>
      <c r="R799" s="1196">
        <f>SUM(R795:U798)</f>
        <v>0</v>
      </c>
      <c r="S799" s="1197"/>
      <c r="T799" s="1197" t="s">
        <v>738</v>
      </c>
      <c r="U799" s="1605"/>
      <c r="V799" s="1081"/>
      <c r="W799" s="1081"/>
      <c r="X799" s="1081"/>
      <c r="Y799" s="1082"/>
      <c r="Z799" s="1083"/>
      <c r="AA799" s="1083"/>
      <c r="AB799" s="1083"/>
      <c r="AC799" s="1082"/>
      <c r="AD799" s="1083"/>
      <c r="AE799" s="1083"/>
      <c r="AF799" s="1083"/>
    </row>
    <row r="800" spans="1:22" s="141" customFormat="1" ht="7.5" customHeight="1">
      <c r="A800" s="82"/>
      <c r="B800" s="37"/>
      <c r="C800" s="37"/>
      <c r="D800" s="37"/>
      <c r="E800" s="37"/>
      <c r="F800" s="37"/>
      <c r="G800" s="37"/>
      <c r="H800" s="37"/>
      <c r="I800" s="37"/>
      <c r="J800" s="37"/>
      <c r="K800" s="37"/>
      <c r="L800" s="37"/>
      <c r="M800" s="37"/>
      <c r="N800" s="37"/>
      <c r="O800" s="37"/>
      <c r="P800" s="37"/>
      <c r="Q800" s="37"/>
      <c r="R800" s="37"/>
      <c r="S800" s="37"/>
      <c r="T800" s="654"/>
      <c r="U800" s="654"/>
      <c r="V800" s="52"/>
    </row>
    <row r="801" spans="1:22" s="141" customFormat="1" ht="14.25" customHeight="1">
      <c r="A801" s="82"/>
      <c r="B801" s="37"/>
      <c r="C801" s="1421" t="s">
        <v>1558</v>
      </c>
      <c r="D801" s="1421"/>
      <c r="E801" s="1421"/>
      <c r="F801" s="1421"/>
      <c r="G801" s="1421"/>
      <c r="H801" s="1421"/>
      <c r="I801" s="1421"/>
      <c r="J801" s="1421"/>
      <c r="K801" s="1421"/>
      <c r="L801" s="1421"/>
      <c r="M801" s="1421"/>
      <c r="N801" s="1421"/>
      <c r="O801" s="1421"/>
      <c r="P801" s="1421"/>
      <c r="Q801" s="1421"/>
      <c r="R801" s="1421"/>
      <c r="S801" s="1421"/>
      <c r="T801" s="1421"/>
      <c r="U801" s="1421"/>
      <c r="V801" s="52"/>
    </row>
    <row r="802" spans="1:22" s="141" customFormat="1" ht="61.5" customHeight="1">
      <c r="A802" s="82"/>
      <c r="B802" s="37"/>
      <c r="C802" s="37"/>
      <c r="D802" s="1091" t="str">
        <f>"Nilai Persediaan Barang Lainnya sebesar Rp "&amp;FIXED(R808)&amp;" merupakan hasil pengadaan selama tahun anggaran "&amp;'2.ISIAN DATA SKPD'!D11&amp;" yang sampai dengan tanggal 31 Desember "&amp;'2.ISIAN DATA SKPD'!D11&amp;" belum terpakai habis dengan rincian sebagai berikut:"</f>
        <v>Nilai Persediaan Barang Lainnya sebesar Rp 222,000,000.00 merupakan hasil pengadaan selama tahun anggaran 2017 yang sampai dengan tanggal 31 Desember 2017 belum terpakai habis dengan rincian sebagai berikut:</v>
      </c>
      <c r="E802" s="1091"/>
      <c r="F802" s="1091"/>
      <c r="G802" s="1091"/>
      <c r="H802" s="1091"/>
      <c r="I802" s="1091"/>
      <c r="J802" s="1091"/>
      <c r="K802" s="1091"/>
      <c r="L802" s="1091"/>
      <c r="M802" s="1091"/>
      <c r="N802" s="1091"/>
      <c r="O802" s="1091"/>
      <c r="P802" s="1091"/>
      <c r="Q802" s="1091"/>
      <c r="R802" s="1091"/>
      <c r="S802" s="1091"/>
      <c r="T802" s="1091"/>
      <c r="U802" s="1091"/>
      <c r="V802" s="52"/>
    </row>
    <row r="803" spans="1:22" s="141" customFormat="1" ht="8.25" customHeight="1">
      <c r="A803" s="82"/>
      <c r="B803" s="37"/>
      <c r="C803" s="37"/>
      <c r="D803" s="702"/>
      <c r="E803" s="702"/>
      <c r="F803" s="702"/>
      <c r="G803" s="702"/>
      <c r="H803" s="702"/>
      <c r="I803" s="702"/>
      <c r="J803" s="702"/>
      <c r="K803" s="702"/>
      <c r="L803" s="702"/>
      <c r="M803" s="702"/>
      <c r="N803" s="702"/>
      <c r="O803" s="702"/>
      <c r="P803" s="702"/>
      <c r="Q803" s="702"/>
      <c r="R803" s="702"/>
      <c r="S803" s="702"/>
      <c r="T803" s="702"/>
      <c r="U803" s="702"/>
      <c r="V803" s="52"/>
    </row>
    <row r="804" spans="1:22" s="141" customFormat="1" ht="15.75" customHeight="1">
      <c r="A804" s="82"/>
      <c r="B804" s="1183" t="s">
        <v>46</v>
      </c>
      <c r="C804" s="1227" t="s">
        <v>256</v>
      </c>
      <c r="D804" s="1228"/>
      <c r="E804" s="1229"/>
      <c r="F804" s="1164" t="s">
        <v>411</v>
      </c>
      <c r="G804" s="1165"/>
      <c r="H804" s="1165"/>
      <c r="I804" s="1166"/>
      <c r="J804" s="1198" t="str">
        <f>J793</f>
        <v>MUTASI  TA 2017</v>
      </c>
      <c r="K804" s="1199"/>
      <c r="L804" s="1199"/>
      <c r="M804" s="1199"/>
      <c r="N804" s="1199"/>
      <c r="O804" s="1199"/>
      <c r="P804" s="1199"/>
      <c r="Q804" s="1200"/>
      <c r="R804" s="1164" t="s">
        <v>412</v>
      </c>
      <c r="S804" s="1165"/>
      <c r="T804" s="1165"/>
      <c r="U804" s="1166"/>
      <c r="V804" s="52"/>
    </row>
    <row r="805" spans="1:22" s="141" customFormat="1" ht="17.25" customHeight="1">
      <c r="A805" s="82"/>
      <c r="B805" s="1184"/>
      <c r="C805" s="1230"/>
      <c r="D805" s="1231"/>
      <c r="E805" s="1232"/>
      <c r="F805" s="1198">
        <f>F794</f>
        <v>2016</v>
      </c>
      <c r="G805" s="1165"/>
      <c r="H805" s="1165"/>
      <c r="I805" s="1166"/>
      <c r="J805" s="1164" t="s">
        <v>413</v>
      </c>
      <c r="K805" s="1165"/>
      <c r="L805" s="1165"/>
      <c r="M805" s="1166"/>
      <c r="N805" s="1164" t="s">
        <v>433</v>
      </c>
      <c r="O805" s="1165"/>
      <c r="P805" s="1165"/>
      <c r="Q805" s="1166"/>
      <c r="R805" s="1164">
        <f>R794</f>
        <v>2017</v>
      </c>
      <c r="S805" s="1165"/>
      <c r="T805" s="1165"/>
      <c r="U805" s="1166"/>
      <c r="V805" s="52"/>
    </row>
    <row r="806" spans="1:22" s="141" customFormat="1" ht="52.5" customHeight="1">
      <c r="A806" s="82"/>
      <c r="B806" s="748">
        <v>1</v>
      </c>
      <c r="C806" s="1619"/>
      <c r="D806" s="1117"/>
      <c r="E806" s="1424"/>
      <c r="F806" s="1185">
        <f>I772</f>
        <v>222000000</v>
      </c>
      <c r="G806" s="1186"/>
      <c r="H806" s="1186" t="s">
        <v>414</v>
      </c>
      <c r="I806" s="1186"/>
      <c r="J806" s="1185">
        <v>0</v>
      </c>
      <c r="K806" s="1186" t="s">
        <v>415</v>
      </c>
      <c r="L806" s="1186"/>
      <c r="M806" s="1186"/>
      <c r="N806" s="1185">
        <v>0</v>
      </c>
      <c r="O806" s="1186" t="s">
        <v>415</v>
      </c>
      <c r="P806" s="1186"/>
      <c r="Q806" s="1186"/>
      <c r="R806" s="1185">
        <f>F806+J806-N806</f>
        <v>222000000</v>
      </c>
      <c r="S806" s="1186"/>
      <c r="T806" s="1186" t="s">
        <v>416</v>
      </c>
      <c r="U806" s="1420"/>
      <c r="V806" s="52"/>
    </row>
    <row r="807" spans="1:22" s="141" customFormat="1" ht="14.25" customHeight="1">
      <c r="A807" s="82"/>
      <c r="B807" s="748">
        <v>2</v>
      </c>
      <c r="C807" s="1619"/>
      <c r="D807" s="1117"/>
      <c r="E807" s="1424"/>
      <c r="F807" s="1185">
        <v>0</v>
      </c>
      <c r="G807" s="1186"/>
      <c r="H807" s="1186" t="s">
        <v>752</v>
      </c>
      <c r="I807" s="1186"/>
      <c r="J807" s="1185">
        <v>0</v>
      </c>
      <c r="K807" s="1186" t="s">
        <v>753</v>
      </c>
      <c r="L807" s="1186"/>
      <c r="M807" s="1186"/>
      <c r="N807" s="1185">
        <v>0</v>
      </c>
      <c r="O807" s="1186" t="s">
        <v>753</v>
      </c>
      <c r="P807" s="1186"/>
      <c r="Q807" s="1186"/>
      <c r="R807" s="1185">
        <f>F807+J807-N807</f>
        <v>0</v>
      </c>
      <c r="S807" s="1186"/>
      <c r="T807" s="1186" t="s">
        <v>434</v>
      </c>
      <c r="U807" s="1420"/>
      <c r="V807" s="52"/>
    </row>
    <row r="808" spans="1:22" s="141" customFormat="1" ht="21.75" customHeight="1">
      <c r="A808" s="82"/>
      <c r="B808" s="762"/>
      <c r="C808" s="1433" t="s">
        <v>10</v>
      </c>
      <c r="D808" s="1122"/>
      <c r="E808" s="1434"/>
      <c r="F808" s="1196">
        <f>SUM(F806:I807)</f>
        <v>222000000</v>
      </c>
      <c r="G808" s="1197"/>
      <c r="H808" s="1197" t="s">
        <v>754</v>
      </c>
      <c r="I808" s="1197"/>
      <c r="J808" s="1196">
        <f>SUM(J806:M807)</f>
        <v>0</v>
      </c>
      <c r="K808" s="1197"/>
      <c r="L808" s="1197" t="s">
        <v>754</v>
      </c>
      <c r="M808" s="1197"/>
      <c r="N808" s="1196">
        <f>SUM(N806:Q807)</f>
        <v>0</v>
      </c>
      <c r="O808" s="1197"/>
      <c r="P808" s="1197" t="s">
        <v>754</v>
      </c>
      <c r="Q808" s="1197"/>
      <c r="R808" s="1617">
        <f>SUM(R806:U807)</f>
        <v>222000000</v>
      </c>
      <c r="S808" s="1618"/>
      <c r="T808" s="1618" t="s">
        <v>754</v>
      </c>
      <c r="U808" s="1624"/>
      <c r="V808" s="52"/>
    </row>
    <row r="809" spans="1:22" s="141" customFormat="1" ht="6.75" customHeight="1">
      <c r="A809" s="82"/>
      <c r="B809" s="37"/>
      <c r="C809" s="37"/>
      <c r="D809" s="37"/>
      <c r="E809" s="37"/>
      <c r="F809" s="37"/>
      <c r="G809" s="37"/>
      <c r="H809" s="37"/>
      <c r="I809" s="37"/>
      <c r="J809" s="37"/>
      <c r="K809" s="37"/>
      <c r="L809" s="37"/>
      <c r="M809" s="37"/>
      <c r="N809" s="37"/>
      <c r="O809" s="37"/>
      <c r="P809" s="37"/>
      <c r="Q809" s="37"/>
      <c r="R809" s="37"/>
      <c r="S809" s="37"/>
      <c r="T809" s="654"/>
      <c r="U809" s="654"/>
      <c r="V809" s="52"/>
    </row>
    <row r="810" spans="1:22" s="141" customFormat="1" ht="14.25" customHeight="1">
      <c r="A810" s="82"/>
      <c r="B810" s="763" t="s">
        <v>1571</v>
      </c>
      <c r="C810" s="654"/>
      <c r="D810" s="654"/>
      <c r="E810" s="654"/>
      <c r="F810" s="654"/>
      <c r="G810" s="654"/>
      <c r="H810" s="654"/>
      <c r="I810" s="654"/>
      <c r="J810" s="654"/>
      <c r="K810" s="654"/>
      <c r="L810" s="654"/>
      <c r="M810" s="654"/>
      <c r="N810" s="654"/>
      <c r="O810" s="654"/>
      <c r="P810" s="654"/>
      <c r="Q810" s="654"/>
      <c r="R810" s="654"/>
      <c r="S810" s="654"/>
      <c r="T810" s="654"/>
      <c r="U810" s="654"/>
      <c r="V810" s="52"/>
    </row>
    <row r="811" spans="1:22" s="141" customFormat="1" ht="7.5" customHeight="1">
      <c r="A811" s="82"/>
      <c r="B811" s="654"/>
      <c r="C811" s="654"/>
      <c r="D811" s="654"/>
      <c r="E811" s="654"/>
      <c r="F811" s="654"/>
      <c r="G811" s="654"/>
      <c r="H811" s="654"/>
      <c r="I811" s="654"/>
      <c r="J811" s="654"/>
      <c r="K811" s="654"/>
      <c r="L811" s="654"/>
      <c r="M811" s="654"/>
      <c r="N811" s="654"/>
      <c r="O811" s="654"/>
      <c r="P811" s="654"/>
      <c r="Q811" s="654"/>
      <c r="R811" s="654"/>
      <c r="S811" s="654"/>
      <c r="T811" s="654"/>
      <c r="U811" s="654"/>
      <c r="V811" s="52"/>
    </row>
    <row r="812" spans="1:22" s="141" customFormat="1" ht="23.25" customHeight="1">
      <c r="A812" s="82"/>
      <c r="B812" s="763" t="s">
        <v>1572</v>
      </c>
      <c r="C812" s="763"/>
      <c r="D812" s="764"/>
      <c r="E812" s="764"/>
      <c r="F812" s="764"/>
      <c r="G812" s="764"/>
      <c r="H812" s="764"/>
      <c r="I812" s="764"/>
      <c r="J812" s="764"/>
      <c r="K812" s="764"/>
      <c r="L812" s="764"/>
      <c r="M812" s="764"/>
      <c r="N812" s="764"/>
      <c r="O812" s="764"/>
      <c r="P812" s="764"/>
      <c r="Q812" s="764"/>
      <c r="R812" s="654"/>
      <c r="S812" s="654"/>
      <c r="T812" s="654"/>
      <c r="U812" s="654"/>
      <c r="V812" s="52"/>
    </row>
    <row r="813" spans="1:22" s="141" customFormat="1" ht="90" customHeight="1">
      <c r="A813" s="82"/>
      <c r="B813" s="668"/>
      <c r="C813" s="1337" t="str">
        <f>"Aset Tetap per "&amp;'2.ISIAN DATA SKPD'!D8&amp;" senilai Rp "&amp;FIXED(I823)&amp;" merupakan aset tetap yang dikelola oleh "&amp;'2.ISIAN DATA SKPD'!D2&amp;" dengan saldo akhir Tahun "&amp;'2.ISIAN DATA SKPD'!D12&amp;" sebesar Rp "&amp;FIXED(N823)&amp;"  mengalami kenaikan/penurunan sebesar Rp. "&amp;FIXED(AC823)&amp;" atau "&amp;FIXED(S823)&amp;"% dari tahun "&amp;'2.ISIAN DATA SKPD'!D12&amp;".  Adapun rincian asset tetap selama Tahun "&amp;'2.ISIAN DATA SKPD'!D11&amp;" adalah sebagai berikut:"</f>
        <v>Aset Tetap per 31 Desember 2017 senilai Rp 6,147,503,512.00 merupakan aset tetap yang dikelola oleh Kecamatan Kaliwiro dengan saldo akhir Tahun 2016 sebesar Rp 4,037,281,412.86  mengalami kenaikan/penurunan sebesar Rp. 2,110,222,099.14 atau 52.27% dari tahun 2016.  Adapun rincian asset tetap selama Tahun 2017 adalah sebagai berikut:</v>
      </c>
      <c r="D813" s="1337"/>
      <c r="E813" s="1337"/>
      <c r="F813" s="1337"/>
      <c r="G813" s="1337"/>
      <c r="H813" s="1337"/>
      <c r="I813" s="1337"/>
      <c r="J813" s="1337"/>
      <c r="K813" s="1337"/>
      <c r="L813" s="1337"/>
      <c r="M813" s="1337"/>
      <c r="N813" s="1337"/>
      <c r="O813" s="1337"/>
      <c r="P813" s="1337"/>
      <c r="Q813" s="1337"/>
      <c r="R813" s="1337"/>
      <c r="S813" s="1337"/>
      <c r="T813" s="1337"/>
      <c r="U813" s="1337"/>
      <c r="V813" s="52"/>
    </row>
    <row r="814" spans="1:22" s="141" customFormat="1" ht="2.25" customHeight="1">
      <c r="A814" s="82"/>
      <c r="C814" s="702"/>
      <c r="D814" s="702"/>
      <c r="E814" s="702"/>
      <c r="F814" s="702"/>
      <c r="G814" s="702"/>
      <c r="H814" s="702"/>
      <c r="I814" s="702"/>
      <c r="J814" s="702"/>
      <c r="K814" s="702"/>
      <c r="L814" s="702"/>
      <c r="M814" s="702"/>
      <c r="N814" s="702"/>
      <c r="O814" s="702"/>
      <c r="P814" s="702"/>
      <c r="Q814" s="702"/>
      <c r="R814" s="702"/>
      <c r="S814" s="702"/>
      <c r="T814" s="702"/>
      <c r="U814" s="702"/>
      <c r="V814" s="52"/>
    </row>
    <row r="815" spans="1:22" s="141" customFormat="1" ht="15" customHeight="1">
      <c r="A815" s="82"/>
      <c r="B815" s="1088" t="s">
        <v>1229</v>
      </c>
      <c r="C815" s="1088"/>
      <c r="D815" s="1088"/>
      <c r="E815" s="1088"/>
      <c r="F815" s="1088"/>
      <c r="G815" s="1088"/>
      <c r="H815" s="1088"/>
      <c r="I815" s="1088"/>
      <c r="J815" s="1088"/>
      <c r="K815" s="1088"/>
      <c r="L815" s="1088"/>
      <c r="M815" s="1088"/>
      <c r="N815" s="1088"/>
      <c r="O815" s="1088"/>
      <c r="P815" s="1088"/>
      <c r="Q815" s="1088"/>
      <c r="R815" s="1088"/>
      <c r="S815" s="1088"/>
      <c r="T815" s="1088"/>
      <c r="U815" s="1088"/>
      <c r="V815" s="52"/>
    </row>
    <row r="816" spans="1:32" s="141" customFormat="1" ht="15.75" customHeight="1">
      <c r="A816" s="1535" t="s">
        <v>117</v>
      </c>
      <c r="B816" s="1536"/>
      <c r="C816" s="1536"/>
      <c r="D816" s="1536"/>
      <c r="E816" s="1536"/>
      <c r="F816" s="1536"/>
      <c r="G816" s="1536"/>
      <c r="H816" s="1537"/>
      <c r="I816" s="1187">
        <f>R805</f>
        <v>2017</v>
      </c>
      <c r="J816" s="1188"/>
      <c r="K816" s="1188"/>
      <c r="L816" s="1188"/>
      <c r="M816" s="1189"/>
      <c r="N816" s="1187">
        <f>F805</f>
        <v>2016</v>
      </c>
      <c r="O816" s="1188"/>
      <c r="P816" s="1188"/>
      <c r="Q816" s="1188"/>
      <c r="R816" s="1189"/>
      <c r="S816" s="1625" t="s">
        <v>195</v>
      </c>
      <c r="T816" s="1626"/>
      <c r="U816" s="1627"/>
      <c r="V816" s="1087"/>
      <c r="W816" s="1075"/>
      <c r="X816" s="1076"/>
      <c r="Y816" s="1084"/>
      <c r="Z816" s="1075"/>
      <c r="AA816" s="1075"/>
      <c r="AB816" s="1076"/>
      <c r="AC816" s="1747" t="s">
        <v>1676</v>
      </c>
      <c r="AD816" s="1748"/>
      <c r="AE816" s="1748"/>
      <c r="AF816" s="1748"/>
    </row>
    <row r="817" spans="1:32" s="141" customFormat="1" ht="18" customHeight="1">
      <c r="A817" s="1193" t="s">
        <v>88</v>
      </c>
      <c r="B817" s="1194"/>
      <c r="C817" s="1194"/>
      <c r="D817" s="1194"/>
      <c r="E817" s="1194"/>
      <c r="F817" s="1194"/>
      <c r="G817" s="1194"/>
      <c r="H817" s="1195"/>
      <c r="I817" s="1190">
        <f>'4.NERACA'!I62</f>
        <v>230838250</v>
      </c>
      <c r="J817" s="1191"/>
      <c r="K817" s="1191"/>
      <c r="L817" s="1191"/>
      <c r="M817" s="1192"/>
      <c r="N817" s="1190">
        <f>'4.NERACA'!D62</f>
        <v>230838250</v>
      </c>
      <c r="O817" s="1191"/>
      <c r="P817" s="1191"/>
      <c r="Q817" s="1191"/>
      <c r="R817" s="1192"/>
      <c r="S817" s="1304">
        <f aca="true" t="shared" si="26" ref="S817:S823">SUM(I817-N817)/N817*100</f>
        <v>0</v>
      </c>
      <c r="T817" s="1305"/>
      <c r="U817" s="1306"/>
      <c r="V817" s="1041"/>
      <c r="W817" s="1075"/>
      <c r="X817" s="1076"/>
      <c r="Y817" s="1084"/>
      <c r="Z817" s="1075"/>
      <c r="AA817" s="1075"/>
      <c r="AB817" s="1076"/>
      <c r="AC817" s="1045">
        <f aca="true" t="shared" si="27" ref="AC817:AC823">I817-N817</f>
        <v>0</v>
      </c>
      <c r="AD817" s="1046"/>
      <c r="AE817" s="1046"/>
      <c r="AF817" s="1749"/>
    </row>
    <row r="818" spans="1:32" s="141" customFormat="1" ht="18" customHeight="1">
      <c r="A818" s="1193" t="s">
        <v>89</v>
      </c>
      <c r="B818" s="1194"/>
      <c r="C818" s="1194"/>
      <c r="D818" s="1194"/>
      <c r="E818" s="1194"/>
      <c r="F818" s="1194"/>
      <c r="G818" s="1194"/>
      <c r="H818" s="1195"/>
      <c r="I818" s="1190">
        <f>'4.NERACA'!I76</f>
        <v>1292546786</v>
      </c>
      <c r="J818" s="1191"/>
      <c r="K818" s="1191"/>
      <c r="L818" s="1191"/>
      <c r="M818" s="1192"/>
      <c r="N818" s="1190">
        <f>'4.NERACA'!D76</f>
        <v>999487126</v>
      </c>
      <c r="O818" s="1191"/>
      <c r="P818" s="1191"/>
      <c r="Q818" s="1191"/>
      <c r="R818" s="1192"/>
      <c r="S818" s="1304">
        <f t="shared" si="26"/>
        <v>29.321003980595545</v>
      </c>
      <c r="T818" s="1305"/>
      <c r="U818" s="1306"/>
      <c r="V818" s="1041"/>
      <c r="W818" s="1075"/>
      <c r="X818" s="1076"/>
      <c r="Y818" s="1084"/>
      <c r="Z818" s="1075"/>
      <c r="AA818" s="1075"/>
      <c r="AB818" s="1076"/>
      <c r="AC818" s="1045">
        <f t="shared" si="27"/>
        <v>293059660</v>
      </c>
      <c r="AD818" s="1046"/>
      <c r="AE818" s="1046"/>
      <c r="AF818" s="1749"/>
    </row>
    <row r="819" spans="1:32" s="141" customFormat="1" ht="18" customHeight="1">
      <c r="A819" s="1193" t="s">
        <v>90</v>
      </c>
      <c r="B819" s="1194"/>
      <c r="C819" s="1194"/>
      <c r="D819" s="1194"/>
      <c r="E819" s="1194"/>
      <c r="F819" s="1194"/>
      <c r="G819" s="1194"/>
      <c r="H819" s="1195"/>
      <c r="I819" s="1190">
        <f>'4.NERACA'!I99</f>
        <v>2394728350</v>
      </c>
      <c r="J819" s="1191"/>
      <c r="K819" s="1191"/>
      <c r="L819" s="1191"/>
      <c r="M819" s="1192"/>
      <c r="N819" s="1190">
        <f>'4.NERACA'!D99</f>
        <v>2377374350</v>
      </c>
      <c r="O819" s="1191"/>
      <c r="P819" s="1191"/>
      <c r="Q819" s="1191"/>
      <c r="R819" s="1192"/>
      <c r="S819" s="1304">
        <f t="shared" si="26"/>
        <v>0.7299649716503419</v>
      </c>
      <c r="T819" s="1305"/>
      <c r="U819" s="1306"/>
      <c r="V819" s="1041"/>
      <c r="W819" s="1075"/>
      <c r="X819" s="1076"/>
      <c r="Y819" s="1084"/>
      <c r="Z819" s="1075"/>
      <c r="AA819" s="1075"/>
      <c r="AB819" s="1076"/>
      <c r="AC819" s="1045">
        <f t="shared" si="27"/>
        <v>17354000</v>
      </c>
      <c r="AD819" s="1046"/>
      <c r="AE819" s="1046"/>
      <c r="AF819" s="1749"/>
    </row>
    <row r="820" spans="1:32" s="141" customFormat="1" ht="18" customHeight="1">
      <c r="A820" s="1193" t="s">
        <v>198</v>
      </c>
      <c r="B820" s="1194"/>
      <c r="C820" s="1194"/>
      <c r="D820" s="1194"/>
      <c r="E820" s="1194"/>
      <c r="F820" s="1194"/>
      <c r="G820" s="1194"/>
      <c r="H820" s="1195"/>
      <c r="I820" s="1190">
        <f>'4.NERACA'!I109</f>
        <v>7010631086</v>
      </c>
      <c r="J820" s="1191"/>
      <c r="K820" s="1191"/>
      <c r="L820" s="1191"/>
      <c r="M820" s="1192"/>
      <c r="N820" s="1190">
        <f>'4.NERACA'!D109</f>
        <v>4885308050</v>
      </c>
      <c r="O820" s="1191"/>
      <c r="P820" s="1191"/>
      <c r="Q820" s="1191"/>
      <c r="R820" s="1192"/>
      <c r="S820" s="1304">
        <f t="shared" si="26"/>
        <v>43.504381182267515</v>
      </c>
      <c r="T820" s="1305"/>
      <c r="U820" s="1306"/>
      <c r="V820" s="1041"/>
      <c r="W820" s="1075"/>
      <c r="X820" s="1076"/>
      <c r="Y820" s="1084"/>
      <c r="Z820" s="1075"/>
      <c r="AA820" s="1075"/>
      <c r="AB820" s="1076"/>
      <c r="AC820" s="1045">
        <f t="shared" si="27"/>
        <v>2125323036</v>
      </c>
      <c r="AD820" s="1046"/>
      <c r="AE820" s="1046"/>
      <c r="AF820" s="1749"/>
    </row>
    <row r="821" spans="1:32" s="141" customFormat="1" ht="18" customHeight="1">
      <c r="A821" s="1193" t="s">
        <v>91</v>
      </c>
      <c r="B821" s="1194"/>
      <c r="C821" s="1194"/>
      <c r="D821" s="1194"/>
      <c r="E821" s="1194"/>
      <c r="F821" s="1194"/>
      <c r="G821" s="1194"/>
      <c r="H821" s="1195"/>
      <c r="I821" s="1190">
        <f>'4.NERACA'!I120</f>
        <v>0</v>
      </c>
      <c r="J821" s="1191"/>
      <c r="K821" s="1191"/>
      <c r="L821" s="1191"/>
      <c r="M821" s="1192"/>
      <c r="N821" s="1190">
        <f>'4.NERACA'!D120</f>
        <v>0</v>
      </c>
      <c r="O821" s="1191"/>
      <c r="P821" s="1191"/>
      <c r="Q821" s="1191"/>
      <c r="R821" s="1192"/>
      <c r="S821" s="1304">
        <v>0</v>
      </c>
      <c r="T821" s="1305"/>
      <c r="U821" s="1306"/>
      <c r="V821" s="1041"/>
      <c r="W821" s="1075"/>
      <c r="X821" s="1076"/>
      <c r="Y821" s="1084"/>
      <c r="Z821" s="1075"/>
      <c r="AA821" s="1075"/>
      <c r="AB821" s="1076"/>
      <c r="AC821" s="1045">
        <f t="shared" si="27"/>
        <v>0</v>
      </c>
      <c r="AD821" s="1046"/>
      <c r="AE821" s="1046"/>
      <c r="AF821" s="1749"/>
    </row>
    <row r="822" spans="1:32" s="141" customFormat="1" ht="18" customHeight="1">
      <c r="A822" s="1193" t="s">
        <v>92</v>
      </c>
      <c r="B822" s="1194"/>
      <c r="C822" s="1194"/>
      <c r="D822" s="1194"/>
      <c r="E822" s="1194"/>
      <c r="F822" s="1194"/>
      <c r="G822" s="1194"/>
      <c r="H822" s="1195"/>
      <c r="I822" s="1190">
        <f>'4.NERACA'!I131</f>
        <v>-4781240960</v>
      </c>
      <c r="J822" s="1191"/>
      <c r="K822" s="1191"/>
      <c r="L822" s="1191"/>
      <c r="M822" s="1192"/>
      <c r="N822" s="1190">
        <f>'4.NERACA'!D131</f>
        <v>-4455726444</v>
      </c>
      <c r="O822" s="1191"/>
      <c r="P822" s="1191"/>
      <c r="Q822" s="1191"/>
      <c r="R822" s="1192"/>
      <c r="S822" s="1304">
        <f t="shared" si="26"/>
        <v>7.305531883321336</v>
      </c>
      <c r="T822" s="1305"/>
      <c r="U822" s="1306"/>
      <c r="V822" s="1041"/>
      <c r="W822" s="1075"/>
      <c r="X822" s="1076"/>
      <c r="Y822" s="1084"/>
      <c r="Z822" s="1075"/>
      <c r="AA822" s="1075"/>
      <c r="AB822" s="1076"/>
      <c r="AC822" s="1045">
        <f t="shared" si="27"/>
        <v>-325514516</v>
      </c>
      <c r="AD822" s="1046"/>
      <c r="AE822" s="1046"/>
      <c r="AF822" s="1749"/>
    </row>
    <row r="823" spans="1:32" s="141" customFormat="1" ht="19.5" customHeight="1">
      <c r="A823" s="1686" t="s">
        <v>10</v>
      </c>
      <c r="B823" s="1687"/>
      <c r="C823" s="1687"/>
      <c r="D823" s="1687"/>
      <c r="E823" s="1687"/>
      <c r="F823" s="1687"/>
      <c r="G823" s="1687"/>
      <c r="H823" s="1688"/>
      <c r="I823" s="1206">
        <f>SUM(I817:M822)</f>
        <v>6147503512</v>
      </c>
      <c r="J823" s="1207"/>
      <c r="K823" s="1207"/>
      <c r="L823" s="1207"/>
      <c r="M823" s="1208"/>
      <c r="N823" s="1206">
        <f>SUM(N817:S822)</f>
        <v>4037281412.8608823</v>
      </c>
      <c r="O823" s="1207"/>
      <c r="P823" s="1207"/>
      <c r="Q823" s="1207"/>
      <c r="R823" s="1208"/>
      <c r="S823" s="1628">
        <f t="shared" si="26"/>
        <v>52.26839259747763</v>
      </c>
      <c r="T823" s="1629"/>
      <c r="U823" s="1630"/>
      <c r="V823" s="1041"/>
      <c r="W823" s="1075"/>
      <c r="X823" s="1076"/>
      <c r="Y823" s="1084"/>
      <c r="Z823" s="1075"/>
      <c r="AA823" s="1075"/>
      <c r="AB823" s="1076"/>
      <c r="AC823" s="1045">
        <f t="shared" si="27"/>
        <v>2110222099.1391177</v>
      </c>
      <c r="AD823" s="1046"/>
      <c r="AE823" s="1046"/>
      <c r="AF823" s="1749"/>
    </row>
    <row r="824" spans="1:22" s="141" customFormat="1" ht="18" customHeight="1">
      <c r="A824" s="111"/>
      <c r="B824" s="111"/>
      <c r="C824" s="111"/>
      <c r="D824" s="111"/>
      <c r="E824" s="111"/>
      <c r="F824" s="111"/>
      <c r="G824" s="111"/>
      <c r="H824" s="111"/>
      <c r="I824" s="113"/>
      <c r="J824" s="113"/>
      <c r="K824" s="113"/>
      <c r="L824" s="113"/>
      <c r="M824" s="113"/>
      <c r="N824" s="113"/>
      <c r="O824" s="113"/>
      <c r="P824" s="113"/>
      <c r="Q824" s="113"/>
      <c r="R824" s="113"/>
      <c r="S824" s="113"/>
      <c r="T824" s="632"/>
      <c r="U824" s="632"/>
      <c r="V824" s="52"/>
    </row>
    <row r="825" spans="1:22" s="141" customFormat="1" ht="30" customHeight="1">
      <c r="A825" s="666"/>
      <c r="B825" s="1456" t="s">
        <v>1559</v>
      </c>
      <c r="C825" s="1456"/>
      <c r="D825" s="1456"/>
      <c r="E825" s="1456"/>
      <c r="F825" s="1456"/>
      <c r="G825" s="1456"/>
      <c r="H825" s="1456"/>
      <c r="I825" s="1456"/>
      <c r="J825" s="1456"/>
      <c r="K825" s="1456"/>
      <c r="L825" s="1456"/>
      <c r="M825" s="1456"/>
      <c r="N825" s="1456"/>
      <c r="O825" s="1456"/>
      <c r="P825" s="1456"/>
      <c r="Q825" s="1456"/>
      <c r="R825" s="1456"/>
      <c r="S825" s="1456"/>
      <c r="T825" s="1456"/>
      <c r="U825" s="1456"/>
      <c r="V825" s="52"/>
    </row>
    <row r="826" spans="1:22" s="141" customFormat="1" ht="21" customHeight="1">
      <c r="A826" s="666"/>
      <c r="B826" s="37"/>
      <c r="C826" s="37"/>
      <c r="D826" s="37"/>
      <c r="E826" s="37"/>
      <c r="F826" s="37"/>
      <c r="G826" s="37"/>
      <c r="H826" s="37"/>
      <c r="I826" s="37"/>
      <c r="J826" s="37"/>
      <c r="K826" s="37"/>
      <c r="L826" s="37"/>
      <c r="M826" s="37"/>
      <c r="N826" s="37"/>
      <c r="O826" s="37"/>
      <c r="P826" s="37"/>
      <c r="Q826" s="37"/>
      <c r="R826" s="37"/>
      <c r="S826" s="37"/>
      <c r="T826" s="37"/>
      <c r="U826" s="37"/>
      <c r="V826" s="52"/>
    </row>
    <row r="827" spans="1:22" s="141" customFormat="1" ht="21" customHeight="1">
      <c r="A827" s="666"/>
      <c r="B827" s="834"/>
      <c r="C827" s="834"/>
      <c r="D827" s="834"/>
      <c r="E827" s="834"/>
      <c r="F827" s="834"/>
      <c r="G827" s="834"/>
      <c r="H827" s="834"/>
      <c r="I827" s="834"/>
      <c r="J827" s="834"/>
      <c r="K827" s="834"/>
      <c r="L827" s="834"/>
      <c r="M827" s="834"/>
      <c r="N827" s="834"/>
      <c r="O827" s="834"/>
      <c r="P827" s="834"/>
      <c r="Q827" s="834"/>
      <c r="R827" s="834"/>
      <c r="S827" s="834"/>
      <c r="T827" s="834"/>
      <c r="U827" s="834"/>
      <c r="V827" s="52"/>
    </row>
    <row r="828" spans="1:22" s="141" customFormat="1" ht="16.5" customHeight="1">
      <c r="A828" s="666"/>
      <c r="B828" s="765" t="s">
        <v>7</v>
      </c>
      <c r="C828" s="1137" t="s">
        <v>88</v>
      </c>
      <c r="D828" s="1137"/>
      <c r="E828" s="1137"/>
      <c r="F828" s="1137"/>
      <c r="G828" s="1137"/>
      <c r="H828" s="1137"/>
      <c r="I828" s="1137"/>
      <c r="J828" s="1137"/>
      <c r="K828" s="1137"/>
      <c r="L828" s="1137"/>
      <c r="M828" s="1137"/>
      <c r="N828" s="1137"/>
      <c r="O828" s="1137"/>
      <c r="P828" s="1137"/>
      <c r="Q828" s="1137"/>
      <c r="R828" s="1137"/>
      <c r="S828" s="1137"/>
      <c r="T828" s="1137"/>
      <c r="U828" s="1137"/>
      <c r="V828" s="52"/>
    </row>
    <row r="829" spans="1:22" s="141" customFormat="1" ht="60.75" customHeight="1">
      <c r="A829" s="666"/>
      <c r="C829" s="1091" t="str">
        <f>"Saldo aset tetap berupa tanah yang dimiliki  "&amp;'2.ISIAN DATA SKPD'!D2&amp;" per "&amp;'2.ISIAN DATA SKPD'!D8&amp;" dan  "&amp;'2.ISIAN DATA SKPD'!D12&amp;" adalah sebesar Rp. "&amp;FIXED(R835)&amp;" dan Rp. "&amp;FIXED(B835)&amp;" naik/turun sebesar Rp. "&amp;FIXED(AC835)&amp;" atau "&amp;FIXED(Y835)&amp;"% dari tahun "&amp;'2.ISIAN DATA SKPD'!D12&amp;"."</f>
        <v>Saldo aset tetap berupa tanah yang dimiliki  Kecamatan Kaliwiro per 31 Desember 2017 dan  2016 adalah sebesar Rp. 230,838,250.00 dan Rp. 230,838,250.00 naik/turun sebesar Rp. 0.00 atau 0.00% dari tahun 2016.</v>
      </c>
      <c r="D829" s="1091"/>
      <c r="E829" s="1091"/>
      <c r="F829" s="1091"/>
      <c r="G829" s="1091"/>
      <c r="H829" s="1091"/>
      <c r="I829" s="1091"/>
      <c r="J829" s="1091"/>
      <c r="K829" s="1091"/>
      <c r="L829" s="1091"/>
      <c r="M829" s="1091"/>
      <c r="N829" s="1091"/>
      <c r="O829" s="1091"/>
      <c r="P829" s="1091"/>
      <c r="Q829" s="1091"/>
      <c r="R829" s="1091"/>
      <c r="S829" s="1091"/>
      <c r="T829" s="1091"/>
      <c r="U829" s="1091"/>
      <c r="V829" s="52"/>
    </row>
    <row r="830" spans="1:22" s="141" customFormat="1" ht="16.5" customHeight="1">
      <c r="A830" s="82"/>
      <c r="C830" s="1091" t="s">
        <v>207</v>
      </c>
      <c r="D830" s="1091"/>
      <c r="E830" s="1091"/>
      <c r="F830" s="1091"/>
      <c r="G830" s="1091"/>
      <c r="H830" s="1091"/>
      <c r="I830" s="1091"/>
      <c r="J830" s="1091"/>
      <c r="K830" s="1091"/>
      <c r="L830" s="1091"/>
      <c r="M830" s="1091"/>
      <c r="N830" s="1091"/>
      <c r="O830" s="1091"/>
      <c r="P830" s="1091"/>
      <c r="Q830" s="1091"/>
      <c r="R830" s="1091"/>
      <c r="S830" s="1091"/>
      <c r="T830" s="1091"/>
      <c r="U830" s="1091"/>
      <c r="V830" s="52"/>
    </row>
    <row r="831" spans="1:22" s="141" customFormat="1" ht="6" customHeight="1">
      <c r="A831" s="82"/>
      <c r="C831" s="702"/>
      <c r="D831" s="702"/>
      <c r="E831" s="702"/>
      <c r="F831" s="702"/>
      <c r="G831" s="702"/>
      <c r="H831" s="702"/>
      <c r="I831" s="702"/>
      <c r="J831" s="702"/>
      <c r="K831" s="702"/>
      <c r="L831" s="702"/>
      <c r="M831" s="702"/>
      <c r="N831" s="702"/>
      <c r="O831" s="702"/>
      <c r="P831" s="702"/>
      <c r="Q831" s="702"/>
      <c r="R831" s="702"/>
      <c r="S831" s="702"/>
      <c r="T831" s="702"/>
      <c r="U831" s="702"/>
      <c r="V831" s="52"/>
    </row>
    <row r="832" spans="1:22" s="141" customFormat="1" ht="14.25" customHeight="1">
      <c r="A832" s="1156" t="s">
        <v>9</v>
      </c>
      <c r="B832" s="1169" t="s">
        <v>762</v>
      </c>
      <c r="C832" s="1169"/>
      <c r="D832" s="1169"/>
      <c r="E832" s="1169"/>
      <c r="F832" s="1178" t="s">
        <v>190</v>
      </c>
      <c r="G832" s="1178"/>
      <c r="H832" s="1178"/>
      <c r="I832" s="1178"/>
      <c r="J832" s="1178"/>
      <c r="K832" s="1178"/>
      <c r="L832" s="1178" t="s">
        <v>761</v>
      </c>
      <c r="M832" s="1178"/>
      <c r="N832" s="1178"/>
      <c r="O832" s="1178"/>
      <c r="P832" s="1178"/>
      <c r="Q832" s="1178"/>
      <c r="R832" s="1169" t="s">
        <v>763</v>
      </c>
      <c r="S832" s="1169"/>
      <c r="T832" s="1169"/>
      <c r="U832" s="1169"/>
      <c r="V832" s="52"/>
    </row>
    <row r="833" spans="1:32" s="141" customFormat="1" ht="14.25" customHeight="1">
      <c r="A833" s="1157"/>
      <c r="B833" s="1466">
        <f>F805</f>
        <v>2016</v>
      </c>
      <c r="C833" s="1467"/>
      <c r="D833" s="1467"/>
      <c r="E833" s="1467"/>
      <c r="F833" s="1408" t="s">
        <v>419</v>
      </c>
      <c r="G833" s="1409"/>
      <c r="H833" s="1410"/>
      <c r="I833" s="1408" t="s">
        <v>420</v>
      </c>
      <c r="J833" s="1409"/>
      <c r="K833" s="1410"/>
      <c r="L833" s="1408" t="s">
        <v>419</v>
      </c>
      <c r="M833" s="1409"/>
      <c r="N833" s="1410"/>
      <c r="O833" s="1170" t="s">
        <v>420</v>
      </c>
      <c r="P833" s="1170"/>
      <c r="Q833" s="1170"/>
      <c r="R833" s="1466">
        <f>R805</f>
        <v>2017</v>
      </c>
      <c r="S833" s="1467"/>
      <c r="T833" s="1467"/>
      <c r="U833" s="1467"/>
      <c r="V833" s="1087"/>
      <c r="W833" s="1075"/>
      <c r="X833" s="1076"/>
      <c r="Y833" s="1084" t="s">
        <v>1677</v>
      </c>
      <c r="Z833" s="1075"/>
      <c r="AA833" s="1075"/>
      <c r="AB833" s="1076"/>
      <c r="AC833" s="1747" t="s">
        <v>1676</v>
      </c>
      <c r="AD833" s="1748"/>
      <c r="AE833" s="1748"/>
      <c r="AF833" s="1748"/>
    </row>
    <row r="834" spans="1:32" s="141" customFormat="1" ht="26.25" customHeight="1">
      <c r="A834" s="827" t="s">
        <v>88</v>
      </c>
      <c r="B834" s="1338">
        <f>'4.NERACA'!D62</f>
        <v>230838250</v>
      </c>
      <c r="C834" s="1339"/>
      <c r="D834" s="1339"/>
      <c r="E834" s="1339"/>
      <c r="F834" s="1338">
        <f>'4.NERACA'!E62</f>
        <v>0</v>
      </c>
      <c r="G834" s="1339"/>
      <c r="H834" s="1353"/>
      <c r="I834" s="1338">
        <f>'4.NERACA'!F62</f>
        <v>0</v>
      </c>
      <c r="J834" s="1339"/>
      <c r="K834" s="1353"/>
      <c r="L834" s="1338">
        <f>'4.NERACA'!G62</f>
        <v>0</v>
      </c>
      <c r="M834" s="1339"/>
      <c r="N834" s="1353"/>
      <c r="O834" s="1338">
        <f>'4.NERACA'!H62</f>
        <v>0</v>
      </c>
      <c r="P834" s="1339"/>
      <c r="Q834" s="1353"/>
      <c r="R834" s="1338">
        <f>'4.NERACA'!I62</f>
        <v>230838250</v>
      </c>
      <c r="S834" s="1339"/>
      <c r="T834" s="1339"/>
      <c r="U834" s="1353"/>
      <c r="V834" s="1041"/>
      <c r="W834" s="1075"/>
      <c r="X834" s="1076"/>
      <c r="Y834" s="1084">
        <f>(R834-B834)/B834*100</f>
        <v>0</v>
      </c>
      <c r="Z834" s="1075"/>
      <c r="AA834" s="1075"/>
      <c r="AB834" s="1076"/>
      <c r="AC834" s="1045">
        <f>R834-B834</f>
        <v>0</v>
      </c>
      <c r="AD834" s="1046"/>
      <c r="AE834" s="1046"/>
      <c r="AF834" s="1749"/>
    </row>
    <row r="835" spans="1:32" s="141" customFormat="1" ht="19.5" customHeight="1">
      <c r="A835" s="827" t="s">
        <v>10</v>
      </c>
      <c r="B835" s="1617">
        <f>B834</f>
        <v>230838250</v>
      </c>
      <c r="C835" s="1618"/>
      <c r="D835" s="1618"/>
      <c r="E835" s="1618"/>
      <c r="F835" s="1617">
        <f>F834</f>
        <v>0</v>
      </c>
      <c r="G835" s="1618"/>
      <c r="H835" s="1624"/>
      <c r="I835" s="1617">
        <f>I834</f>
        <v>0</v>
      </c>
      <c r="J835" s="1618"/>
      <c r="K835" s="1624"/>
      <c r="L835" s="1617">
        <f>L834</f>
        <v>0</v>
      </c>
      <c r="M835" s="1618"/>
      <c r="N835" s="1624"/>
      <c r="O835" s="1617">
        <f>O834</f>
        <v>0</v>
      </c>
      <c r="P835" s="1618"/>
      <c r="Q835" s="1624"/>
      <c r="R835" s="1617">
        <f>R834</f>
        <v>230838250</v>
      </c>
      <c r="S835" s="1618"/>
      <c r="T835" s="1618"/>
      <c r="U835" s="1624"/>
      <c r="V835" s="1041"/>
      <c r="W835" s="1075"/>
      <c r="X835" s="1076"/>
      <c r="Y835" s="1084">
        <f>(R835-B835)/B835*100</f>
        <v>0</v>
      </c>
      <c r="Z835" s="1075"/>
      <c r="AA835" s="1075"/>
      <c r="AB835" s="1076"/>
      <c r="AC835" s="1045">
        <f>R835-B835</f>
        <v>0</v>
      </c>
      <c r="AD835" s="1046"/>
      <c r="AE835" s="1046"/>
      <c r="AF835" s="1749"/>
    </row>
    <row r="836" spans="1:22" s="141" customFormat="1" ht="19.5" customHeight="1">
      <c r="A836" s="82"/>
      <c r="C836" s="1091" t="s">
        <v>764</v>
      </c>
      <c r="D836" s="1091"/>
      <c r="E836" s="1091"/>
      <c r="F836" s="1091"/>
      <c r="G836" s="1091"/>
      <c r="H836" s="1091"/>
      <c r="I836" s="1091"/>
      <c r="J836" s="1091"/>
      <c r="K836" s="1091"/>
      <c r="L836" s="1091"/>
      <c r="M836" s="1091"/>
      <c r="N836" s="1091"/>
      <c r="O836" s="1091"/>
      <c r="P836" s="1091"/>
      <c r="Q836" s="1091"/>
      <c r="R836" s="1091"/>
      <c r="S836" s="1091"/>
      <c r="T836" s="1091"/>
      <c r="U836" s="766"/>
      <c r="V836" s="52"/>
    </row>
    <row r="837" spans="1:22" s="141" customFormat="1" ht="19.5" customHeight="1">
      <c r="A837" s="82"/>
      <c r="C837" s="1633" t="s">
        <v>1560</v>
      </c>
      <c r="D837" s="1633"/>
      <c r="E837" s="1633"/>
      <c r="F837" s="1633"/>
      <c r="G837" s="1633"/>
      <c r="H837" s="1633"/>
      <c r="I837" s="1633"/>
      <c r="J837" s="1633"/>
      <c r="K837" s="1633"/>
      <c r="L837" s="1633"/>
      <c r="M837" s="1633"/>
      <c r="N837" s="1633"/>
      <c r="O837" s="1633"/>
      <c r="P837" s="1633"/>
      <c r="Q837" s="1633"/>
      <c r="R837" s="1633"/>
      <c r="S837" s="1633"/>
      <c r="T837" s="1633"/>
      <c r="U837" s="1633"/>
      <c r="V837" s="52"/>
    </row>
    <row r="838" spans="1:22" s="141" customFormat="1" ht="19.5" customHeight="1">
      <c r="A838" s="82"/>
      <c r="C838" s="1167" t="str">
        <f>"    Mutasi/Koreksi debet sebesar Rp. "&amp;FIXED(F834+L834)&amp;" berasal dari :"</f>
        <v>    Mutasi/Koreksi debet sebesar Rp. 0.00 berasal dari :</v>
      </c>
      <c r="D838" s="1167"/>
      <c r="E838" s="1167"/>
      <c r="F838" s="1167"/>
      <c r="G838" s="1167"/>
      <c r="H838" s="1167"/>
      <c r="I838" s="1167"/>
      <c r="J838" s="1167"/>
      <c r="K838" s="1167"/>
      <c r="L838" s="1167"/>
      <c r="M838" s="1167"/>
      <c r="N838" s="1167"/>
      <c r="O838" s="1167"/>
      <c r="P838" s="1167"/>
      <c r="Q838" s="1167"/>
      <c r="R838" s="1167"/>
      <c r="S838" s="1167"/>
      <c r="T838" s="1167"/>
      <c r="U838" s="1167"/>
      <c r="V838" s="52"/>
    </row>
    <row r="839" spans="1:22" s="141" customFormat="1" ht="3" customHeight="1">
      <c r="A839" s="82"/>
      <c r="C839" s="1167"/>
      <c r="D839" s="1167"/>
      <c r="E839" s="1167"/>
      <c r="F839" s="1167"/>
      <c r="G839" s="1167"/>
      <c r="H839" s="1167"/>
      <c r="I839" s="1167"/>
      <c r="J839" s="1167"/>
      <c r="K839" s="1167"/>
      <c r="L839" s="1167"/>
      <c r="M839" s="1167"/>
      <c r="N839" s="1167"/>
      <c r="O839" s="1167"/>
      <c r="P839" s="1167"/>
      <c r="Q839" s="1167"/>
      <c r="R839" s="1167"/>
      <c r="S839" s="1167"/>
      <c r="T839" s="1167"/>
      <c r="U839" s="1167"/>
      <c r="V839" s="52"/>
    </row>
    <row r="840" spans="1:22" s="141" customFormat="1" ht="19.5" customHeight="1" hidden="1">
      <c r="A840" s="82"/>
      <c r="C840" s="1167"/>
      <c r="D840" s="1167"/>
      <c r="E840" s="1167"/>
      <c r="F840" s="1167"/>
      <c r="G840" s="1167"/>
      <c r="H840" s="1167"/>
      <c r="I840" s="1167"/>
      <c r="J840" s="1167"/>
      <c r="K840" s="1167"/>
      <c r="L840" s="1167"/>
      <c r="M840" s="1167"/>
      <c r="N840" s="1167"/>
      <c r="O840" s="1167"/>
      <c r="P840" s="1167"/>
      <c r="Q840" s="1167"/>
      <c r="R840" s="1167"/>
      <c r="S840" s="1167"/>
      <c r="T840" s="1167"/>
      <c r="U840" s="1167"/>
      <c r="V840" s="52"/>
    </row>
    <row r="841" spans="1:22" s="141" customFormat="1" ht="19.5" customHeight="1">
      <c r="A841" s="82"/>
      <c r="C841" s="1633" t="s">
        <v>1561</v>
      </c>
      <c r="D841" s="1633"/>
      <c r="E841" s="1633"/>
      <c r="F841" s="1633"/>
      <c r="G841" s="1633"/>
      <c r="H841" s="1633"/>
      <c r="I841" s="1633"/>
      <c r="J841" s="1633"/>
      <c r="K841" s="1633"/>
      <c r="L841" s="1633"/>
      <c r="M841" s="1633"/>
      <c r="N841" s="1633"/>
      <c r="O841" s="1633"/>
      <c r="P841" s="1633"/>
      <c r="Q841" s="1633"/>
      <c r="R841" s="1633"/>
      <c r="S841" s="1633"/>
      <c r="T841" s="1633"/>
      <c r="U841" s="1633"/>
      <c r="V841" s="52"/>
    </row>
    <row r="842" spans="1:22" s="141" customFormat="1" ht="19.5" customHeight="1">
      <c r="A842" s="82"/>
      <c r="C842" s="1167" t="str">
        <f>"    Mutasi/Koreksi kredit sebesar Rp. "&amp;FIXED(I835+O835)&amp;" berasal dari :"</f>
        <v>    Mutasi/Koreksi kredit sebesar Rp. 0.00 berasal dari :</v>
      </c>
      <c r="D842" s="1167"/>
      <c r="E842" s="1167"/>
      <c r="F842" s="1167"/>
      <c r="G842" s="1167"/>
      <c r="H842" s="1167"/>
      <c r="I842" s="1167"/>
      <c r="J842" s="1167"/>
      <c r="K842" s="1167"/>
      <c r="L842" s="1167"/>
      <c r="M842" s="1167"/>
      <c r="N842" s="1167"/>
      <c r="O842" s="1167"/>
      <c r="P842" s="1167"/>
      <c r="Q842" s="1167"/>
      <c r="R842" s="1167"/>
      <c r="S842" s="1167"/>
      <c r="T842" s="1167"/>
      <c r="U842" s="1167"/>
      <c r="V842" s="52"/>
    </row>
    <row r="843" spans="1:22" s="141" customFormat="1" ht="15">
      <c r="A843" s="82"/>
      <c r="C843" s="1609"/>
      <c r="D843" s="1609"/>
      <c r="E843" s="1609"/>
      <c r="F843" s="1609"/>
      <c r="G843" s="1609"/>
      <c r="H843" s="1609"/>
      <c r="I843" s="1609"/>
      <c r="J843" s="1609"/>
      <c r="K843" s="1609"/>
      <c r="L843" s="1609"/>
      <c r="M843" s="1609"/>
      <c r="N843" s="1609"/>
      <c r="O843" s="1609"/>
      <c r="P843" s="1609"/>
      <c r="Q843" s="1609"/>
      <c r="R843" s="1609"/>
      <c r="S843" s="1609"/>
      <c r="T843" s="1609"/>
      <c r="U843" s="1609"/>
      <c r="V843" s="52"/>
    </row>
    <row r="844" spans="1:22" s="141" customFormat="1" ht="19.5" customHeight="1">
      <c r="A844" s="82"/>
      <c r="C844" s="1091" t="str">
        <f>"Rincian saldo Tanah per "&amp;'2.ISIAN DATA SKPD'!D8&amp;" adalah sebagai berikut:"</f>
        <v>Rincian saldo Tanah per 31 Desember 2017 adalah sebagai berikut:</v>
      </c>
      <c r="D844" s="1091"/>
      <c r="E844" s="1091"/>
      <c r="F844" s="1091"/>
      <c r="G844" s="1091"/>
      <c r="H844" s="1091"/>
      <c r="I844" s="1091"/>
      <c r="J844" s="1091"/>
      <c r="K844" s="1091"/>
      <c r="L844" s="1091"/>
      <c r="M844" s="1091"/>
      <c r="N844" s="1091"/>
      <c r="O844" s="1091"/>
      <c r="P844" s="1091"/>
      <c r="Q844" s="1091"/>
      <c r="R844" s="1091"/>
      <c r="S844" s="1091"/>
      <c r="T844" s="1091"/>
      <c r="U844" s="1091"/>
      <c r="V844" s="52"/>
    </row>
    <row r="845" spans="1:22" s="141" customFormat="1" ht="19.5" customHeight="1">
      <c r="A845" s="82"/>
      <c r="B845" s="767" t="s">
        <v>126</v>
      </c>
      <c r="C845" s="1558" t="s">
        <v>28</v>
      </c>
      <c r="D845" s="1595"/>
      <c r="E845" s="1595"/>
      <c r="F845" s="1595"/>
      <c r="G845" s="1595"/>
      <c r="H845" s="1595"/>
      <c r="I845" s="1595"/>
      <c r="J845" s="1595"/>
      <c r="K845" s="1595"/>
      <c r="L845" s="1595"/>
      <c r="M845" s="1595"/>
      <c r="N845" s="1595"/>
      <c r="O845" s="1596"/>
      <c r="P845" s="1558" t="s">
        <v>135</v>
      </c>
      <c r="Q845" s="1595"/>
      <c r="R845" s="1595"/>
      <c r="S845" s="1595"/>
      <c r="T845" s="1595"/>
      <c r="U845" s="1596"/>
      <c r="V845" s="52"/>
    </row>
    <row r="846" spans="1:27" s="141" customFormat="1" ht="20.25" customHeight="1">
      <c r="A846" s="82"/>
      <c r="B846" s="768">
        <v>1</v>
      </c>
      <c r="C846" s="1093" t="str">
        <f>'4.NERACA'!C63</f>
        <v>Tanah Perkampungan</v>
      </c>
      <c r="D846" s="1094"/>
      <c r="E846" s="1094"/>
      <c r="F846" s="1094"/>
      <c r="G846" s="1094"/>
      <c r="H846" s="1094"/>
      <c r="I846" s="1094"/>
      <c r="J846" s="1094"/>
      <c r="K846" s="1094"/>
      <c r="L846" s="1094"/>
      <c r="M846" s="1094"/>
      <c r="N846" s="1094"/>
      <c r="O846" s="1095"/>
      <c r="P846" s="1634">
        <f>'4.NERACA'!I63</f>
        <v>0</v>
      </c>
      <c r="Q846" s="1635"/>
      <c r="R846" s="1635"/>
      <c r="S846" s="1635"/>
      <c r="T846" s="1635"/>
      <c r="U846" s="1636"/>
      <c r="V846" s="769"/>
      <c r="W846" s="770"/>
      <c r="X846" s="770"/>
      <c r="Y846" s="770"/>
      <c r="Z846" s="770"/>
      <c r="AA846" s="771"/>
    </row>
    <row r="847" spans="1:22" s="141" customFormat="1" ht="19.5" customHeight="1">
      <c r="A847" s="82"/>
      <c r="B847" s="768">
        <v>2</v>
      </c>
      <c r="C847" s="1093" t="str">
        <f>'4.NERACA'!C64</f>
        <v>Tanah Pertanian</v>
      </c>
      <c r="D847" s="1094"/>
      <c r="E847" s="1094"/>
      <c r="F847" s="1094"/>
      <c r="G847" s="1094"/>
      <c r="H847" s="1094"/>
      <c r="I847" s="1094"/>
      <c r="J847" s="1094"/>
      <c r="K847" s="1094"/>
      <c r="L847" s="1094"/>
      <c r="M847" s="1094"/>
      <c r="N847" s="1094"/>
      <c r="O847" s="1095"/>
      <c r="P847" s="1158">
        <f>'4.NERACA'!I64</f>
        <v>0</v>
      </c>
      <c r="Q847" s="1159"/>
      <c r="R847" s="1159"/>
      <c r="S847" s="1159"/>
      <c r="T847" s="1159"/>
      <c r="U847" s="1160"/>
      <c r="V847" s="52"/>
    </row>
    <row r="848" spans="1:22" s="141" customFormat="1" ht="20.25" customHeight="1">
      <c r="A848" s="82"/>
      <c r="B848" s="768">
        <v>3</v>
      </c>
      <c r="C848" s="1093" t="str">
        <f>'4.NERACA'!C65</f>
        <v>Tanah Perkebunan</v>
      </c>
      <c r="D848" s="1094"/>
      <c r="E848" s="1094"/>
      <c r="F848" s="1094"/>
      <c r="G848" s="1094"/>
      <c r="H848" s="1094"/>
      <c r="I848" s="1094"/>
      <c r="J848" s="1094"/>
      <c r="K848" s="1094"/>
      <c r="L848" s="1094"/>
      <c r="M848" s="1094"/>
      <c r="N848" s="1094"/>
      <c r="O848" s="1095"/>
      <c r="P848" s="1158">
        <f>'4.NERACA'!I65</f>
        <v>0</v>
      </c>
      <c r="Q848" s="1159"/>
      <c r="R848" s="1159"/>
      <c r="S848" s="1159"/>
      <c r="T848" s="1159"/>
      <c r="U848" s="1160"/>
      <c r="V848" s="52"/>
    </row>
    <row r="849" spans="1:22" s="141" customFormat="1" ht="20.25" customHeight="1">
      <c r="A849" s="82"/>
      <c r="B849" s="768">
        <v>4</v>
      </c>
      <c r="C849" s="1093" t="str">
        <f>'4.NERACA'!C66</f>
        <v>Kebun Campuran</v>
      </c>
      <c r="D849" s="1094"/>
      <c r="E849" s="1094"/>
      <c r="F849" s="1094"/>
      <c r="G849" s="1094"/>
      <c r="H849" s="1094"/>
      <c r="I849" s="1094"/>
      <c r="J849" s="1094"/>
      <c r="K849" s="1094"/>
      <c r="L849" s="1094"/>
      <c r="M849" s="1094"/>
      <c r="N849" s="1094"/>
      <c r="O849" s="1095"/>
      <c r="P849" s="1158">
        <f>'4.NERACA'!I66</f>
        <v>0</v>
      </c>
      <c r="Q849" s="1159"/>
      <c r="R849" s="1159"/>
      <c r="S849" s="1159"/>
      <c r="T849" s="1159"/>
      <c r="U849" s="1160"/>
      <c r="V849" s="52"/>
    </row>
    <row r="850" spans="1:22" s="141" customFormat="1" ht="20.25" customHeight="1">
      <c r="A850" s="82"/>
      <c r="B850" s="768">
        <v>5</v>
      </c>
      <c r="C850" s="1093" t="str">
        <f>'4.NERACA'!C67</f>
        <v>Hutan</v>
      </c>
      <c r="D850" s="1094"/>
      <c r="E850" s="1094"/>
      <c r="F850" s="1094"/>
      <c r="G850" s="1094"/>
      <c r="H850" s="1094"/>
      <c r="I850" s="1094"/>
      <c r="J850" s="1094"/>
      <c r="K850" s="1094"/>
      <c r="L850" s="1094"/>
      <c r="M850" s="1094"/>
      <c r="N850" s="1094"/>
      <c r="O850" s="1095"/>
      <c r="P850" s="1158">
        <f>'4.NERACA'!I67</f>
        <v>0</v>
      </c>
      <c r="Q850" s="1159"/>
      <c r="R850" s="1159"/>
      <c r="S850" s="1159"/>
      <c r="T850" s="1159"/>
      <c r="U850" s="1160"/>
      <c r="V850" s="52"/>
    </row>
    <row r="851" spans="1:22" s="141" customFormat="1" ht="20.25" customHeight="1">
      <c r="A851" s="82"/>
      <c r="B851" s="768">
        <v>6</v>
      </c>
      <c r="C851" s="1093" t="str">
        <f>'4.NERACA'!C68</f>
        <v>Kolam ilan</v>
      </c>
      <c r="D851" s="1094"/>
      <c r="E851" s="1094"/>
      <c r="F851" s="1094"/>
      <c r="G851" s="1094"/>
      <c r="H851" s="1094"/>
      <c r="I851" s="1094"/>
      <c r="J851" s="1094"/>
      <c r="K851" s="1094"/>
      <c r="L851" s="1094"/>
      <c r="M851" s="1094"/>
      <c r="N851" s="1094"/>
      <c r="O851" s="1095"/>
      <c r="P851" s="1158">
        <f>'4.NERACA'!I68</f>
        <v>0</v>
      </c>
      <c r="Q851" s="1159"/>
      <c r="R851" s="1159"/>
      <c r="S851" s="1159"/>
      <c r="T851" s="1159"/>
      <c r="U851" s="1160"/>
      <c r="V851" s="52"/>
    </row>
    <row r="852" spans="1:22" s="141" customFormat="1" ht="20.25" customHeight="1">
      <c r="A852" s="82"/>
      <c r="B852" s="768">
        <v>7</v>
      </c>
      <c r="C852" s="1093" t="str">
        <f>'4.NERACA'!C69</f>
        <v>Danau/Rawa</v>
      </c>
      <c r="D852" s="1094"/>
      <c r="E852" s="1094"/>
      <c r="F852" s="1094"/>
      <c r="G852" s="1094"/>
      <c r="H852" s="1094"/>
      <c r="I852" s="1094"/>
      <c r="J852" s="1094"/>
      <c r="K852" s="1094"/>
      <c r="L852" s="1094"/>
      <c r="M852" s="1094"/>
      <c r="N852" s="1094"/>
      <c r="O852" s="1095"/>
      <c r="P852" s="1158">
        <f>'4.NERACA'!I69</f>
        <v>0</v>
      </c>
      <c r="Q852" s="1159"/>
      <c r="R852" s="1159"/>
      <c r="S852" s="1159"/>
      <c r="T852" s="1159"/>
      <c r="U852" s="1160"/>
      <c r="V852" s="52"/>
    </row>
    <row r="853" spans="1:22" s="141" customFormat="1" ht="18.75" customHeight="1">
      <c r="A853" s="82"/>
      <c r="B853" s="768">
        <v>8</v>
      </c>
      <c r="C853" s="1093" t="str">
        <f>'4.NERACA'!C70</f>
        <v>Tanah Tandus/Rusak</v>
      </c>
      <c r="D853" s="1094"/>
      <c r="E853" s="1094"/>
      <c r="F853" s="1094"/>
      <c r="G853" s="1094"/>
      <c r="H853" s="1094"/>
      <c r="I853" s="1094"/>
      <c r="J853" s="1094"/>
      <c r="K853" s="1094"/>
      <c r="L853" s="1094"/>
      <c r="M853" s="1094"/>
      <c r="N853" s="1094"/>
      <c r="O853" s="1095"/>
      <c r="P853" s="1158">
        <f>'4.NERACA'!I70</f>
        <v>0</v>
      </c>
      <c r="Q853" s="1159"/>
      <c r="R853" s="1159"/>
      <c r="S853" s="1159"/>
      <c r="T853" s="1159"/>
      <c r="U853" s="1160"/>
      <c r="V853" s="52"/>
    </row>
    <row r="854" spans="1:22" s="141" customFormat="1" ht="20.25" customHeight="1">
      <c r="A854" s="82"/>
      <c r="B854" s="768">
        <v>9</v>
      </c>
      <c r="C854" s="1093" t="str">
        <f>'4.NERACA'!C71</f>
        <v>Alang-alang dan Padang Rumput</v>
      </c>
      <c r="D854" s="1094"/>
      <c r="E854" s="1094"/>
      <c r="F854" s="1094"/>
      <c r="G854" s="1094"/>
      <c r="H854" s="1094"/>
      <c r="I854" s="1094"/>
      <c r="J854" s="1094"/>
      <c r="K854" s="1094"/>
      <c r="L854" s="1094"/>
      <c r="M854" s="1094"/>
      <c r="N854" s="1094"/>
      <c r="O854" s="1095"/>
      <c r="P854" s="1158">
        <f>'4.NERACA'!I71</f>
        <v>0</v>
      </c>
      <c r="Q854" s="1159"/>
      <c r="R854" s="1159"/>
      <c r="S854" s="1159"/>
      <c r="T854" s="1159"/>
      <c r="U854" s="1160"/>
      <c r="V854" s="52"/>
    </row>
    <row r="855" spans="1:22" s="141" customFormat="1" ht="17.25" customHeight="1">
      <c r="A855" s="82"/>
      <c r="B855" s="768">
        <v>10</v>
      </c>
      <c r="C855" s="1093" t="str">
        <f>'4.NERACA'!C72</f>
        <v>Tanah Pengguna Lain</v>
      </c>
      <c r="D855" s="1094"/>
      <c r="E855" s="1094"/>
      <c r="F855" s="1094"/>
      <c r="G855" s="1094"/>
      <c r="H855" s="1094"/>
      <c r="I855" s="1094"/>
      <c r="J855" s="1094"/>
      <c r="K855" s="1094"/>
      <c r="L855" s="1094"/>
      <c r="M855" s="1094"/>
      <c r="N855" s="1094"/>
      <c r="O855" s="1095"/>
      <c r="P855" s="1158">
        <f>'4.NERACA'!I72</f>
        <v>0</v>
      </c>
      <c r="Q855" s="1159"/>
      <c r="R855" s="1159"/>
      <c r="S855" s="1159"/>
      <c r="T855" s="1159"/>
      <c r="U855" s="1160"/>
      <c r="V855" s="52"/>
    </row>
    <row r="856" spans="1:22" s="141" customFormat="1" ht="19.5" customHeight="1">
      <c r="A856" s="666"/>
      <c r="B856" s="768">
        <v>11</v>
      </c>
      <c r="C856" s="1093" t="str">
        <f>'4.NERACA'!C73</f>
        <v>Tanah Untuk Bangunan Gedung</v>
      </c>
      <c r="D856" s="1094"/>
      <c r="E856" s="1094"/>
      <c r="F856" s="1094"/>
      <c r="G856" s="1094"/>
      <c r="H856" s="1094"/>
      <c r="I856" s="1094"/>
      <c r="J856" s="1094"/>
      <c r="K856" s="1094"/>
      <c r="L856" s="1094"/>
      <c r="M856" s="1094"/>
      <c r="N856" s="1094"/>
      <c r="O856" s="1095"/>
      <c r="P856" s="1158">
        <f>'4.NERACA'!I73</f>
        <v>230838250</v>
      </c>
      <c r="Q856" s="1159"/>
      <c r="R856" s="1159"/>
      <c r="S856" s="1159"/>
      <c r="T856" s="1159"/>
      <c r="U856" s="1160"/>
      <c r="V856" s="52"/>
    </row>
    <row r="857" spans="1:22" s="141" customFormat="1" ht="16.5" customHeight="1">
      <c r="A857" s="666"/>
      <c r="B857" s="768">
        <v>12</v>
      </c>
      <c r="C857" s="1093" t="str">
        <f>'4.NERACA'!C74</f>
        <v>Tanah Pertambangan</v>
      </c>
      <c r="D857" s="1094"/>
      <c r="E857" s="1094"/>
      <c r="F857" s="1094"/>
      <c r="G857" s="1094"/>
      <c r="H857" s="1094"/>
      <c r="I857" s="1094"/>
      <c r="J857" s="1094"/>
      <c r="K857" s="1094"/>
      <c r="L857" s="1094"/>
      <c r="M857" s="1094"/>
      <c r="N857" s="1094"/>
      <c r="O857" s="1095"/>
      <c r="P857" s="1158">
        <f>'4.NERACA'!I74</f>
        <v>0</v>
      </c>
      <c r="Q857" s="1159"/>
      <c r="R857" s="1159"/>
      <c r="S857" s="1159"/>
      <c r="T857" s="1159"/>
      <c r="U857" s="1160"/>
      <c r="V857" s="52"/>
    </row>
    <row r="858" spans="1:22" s="141" customFormat="1" ht="19.5" customHeight="1">
      <c r="A858" s="666"/>
      <c r="B858" s="768">
        <v>13</v>
      </c>
      <c r="C858" s="1093" t="str">
        <f>'4.NERACA'!C75</f>
        <v>Tanah Untuk Bangunan Bukan Gedung</v>
      </c>
      <c r="D858" s="1094"/>
      <c r="E858" s="1094"/>
      <c r="F858" s="1094"/>
      <c r="G858" s="1094"/>
      <c r="H858" s="1094"/>
      <c r="I858" s="1094"/>
      <c r="J858" s="1094"/>
      <c r="K858" s="1094"/>
      <c r="L858" s="1094"/>
      <c r="M858" s="1094"/>
      <c r="N858" s="1094"/>
      <c r="O858" s="1095"/>
      <c r="P858" s="1158">
        <f>'4.NERACA'!I75</f>
        <v>0</v>
      </c>
      <c r="Q858" s="1159"/>
      <c r="R858" s="1159"/>
      <c r="S858" s="1159"/>
      <c r="T858" s="1159"/>
      <c r="U858" s="1160"/>
      <c r="V858" s="52"/>
    </row>
    <row r="859" spans="1:22" s="141" customFormat="1" ht="27" customHeight="1">
      <c r="A859" s="666"/>
      <c r="B859" s="1126" t="s">
        <v>10</v>
      </c>
      <c r="C859" s="1127"/>
      <c r="D859" s="1127"/>
      <c r="E859" s="1127"/>
      <c r="F859" s="1127"/>
      <c r="G859" s="1127"/>
      <c r="H859" s="1127"/>
      <c r="I859" s="1127"/>
      <c r="J859" s="1127"/>
      <c r="K859" s="1127"/>
      <c r="L859" s="1127"/>
      <c r="M859" s="1127"/>
      <c r="N859" s="1127"/>
      <c r="O859" s="1128"/>
      <c r="P859" s="1460">
        <f>SUM(P846:U858)</f>
        <v>230838250</v>
      </c>
      <c r="Q859" s="1461"/>
      <c r="R859" s="1461"/>
      <c r="S859" s="1461"/>
      <c r="T859" s="1461"/>
      <c r="U859" s="1462"/>
      <c r="V859" s="52"/>
    </row>
    <row r="860" spans="1:22" s="141" customFormat="1" ht="8.25" customHeight="1">
      <c r="A860" s="666"/>
      <c r="B860" s="772"/>
      <c r="C860" s="772"/>
      <c r="D860" s="772"/>
      <c r="E860" s="772"/>
      <c r="F860" s="772"/>
      <c r="G860" s="772"/>
      <c r="H860" s="772"/>
      <c r="I860" s="772"/>
      <c r="J860" s="772"/>
      <c r="K860" s="772"/>
      <c r="L860" s="772"/>
      <c r="M860" s="772"/>
      <c r="N860" s="772"/>
      <c r="O860" s="772"/>
      <c r="P860" s="772"/>
      <c r="Q860" s="772"/>
      <c r="R860" s="772"/>
      <c r="S860" s="772"/>
      <c r="T860" s="772"/>
      <c r="U860" s="772"/>
      <c r="V860" s="52"/>
    </row>
    <row r="861" spans="1:22" s="141" customFormat="1" ht="17.25" customHeight="1">
      <c r="A861" s="666"/>
      <c r="B861" s="765" t="s">
        <v>8</v>
      </c>
      <c r="C861" s="1637" t="s">
        <v>89</v>
      </c>
      <c r="D861" s="1637"/>
      <c r="E861" s="1637"/>
      <c r="F861" s="1637"/>
      <c r="G861" s="1637"/>
      <c r="H861" s="1637"/>
      <c r="I861" s="1637"/>
      <c r="J861" s="1637"/>
      <c r="K861" s="1637"/>
      <c r="L861" s="1637"/>
      <c r="M861" s="1637"/>
      <c r="N861" s="1637"/>
      <c r="O861" s="1637"/>
      <c r="P861" s="1637"/>
      <c r="Q861" s="1637"/>
      <c r="R861" s="1637"/>
      <c r="S861" s="1637"/>
      <c r="T861" s="1637"/>
      <c r="U861" s="1637"/>
      <c r="V861" s="52"/>
    </row>
    <row r="862" spans="1:22" s="141" customFormat="1" ht="60" customHeight="1">
      <c r="A862" s="666"/>
      <c r="C862" s="1091" t="str">
        <f>"Saldo aset tetap berupa peralatan dan mesin yang dimiliki  "&amp;'2.ISIAN DATA SKPD'!D2&amp;" per "&amp;'2.ISIAN DATA SKPD'!D8&amp;" dan  "&amp;'2.ISIAN DATA SKPD'!D12&amp;" adalah sebesar Rp. "&amp;FIXED(R868)&amp;" dan Rp. "&amp;FIXED(B868)&amp;" naik/turun sebesar Rp. "&amp;FIXED(AC868)&amp;" atau "&amp;FIXED(Y868)&amp;"% dari tahun "&amp;'2.ISIAN DATA SKPD'!D12&amp;"."</f>
        <v>Saldo aset tetap berupa peralatan dan mesin yang dimiliki  Kecamatan Kaliwiro per 31 Desember 2017 dan  2016 adalah sebesar Rp. 1,292,546,786.00 dan Rp. 999,487,126.00 naik/turun sebesar Rp. 293,059,660.00 atau 29.32% dari tahun 2016.</v>
      </c>
      <c r="D862" s="1091"/>
      <c r="E862" s="1091"/>
      <c r="F862" s="1091"/>
      <c r="G862" s="1091"/>
      <c r="H862" s="1091"/>
      <c r="I862" s="1091"/>
      <c r="J862" s="1091"/>
      <c r="K862" s="1091"/>
      <c r="L862" s="1091"/>
      <c r="M862" s="1091"/>
      <c r="N862" s="1091"/>
      <c r="O862" s="1091"/>
      <c r="P862" s="1091"/>
      <c r="Q862" s="1091"/>
      <c r="R862" s="1091"/>
      <c r="S862" s="1091"/>
      <c r="T862" s="1091"/>
      <c r="U862" s="1091"/>
      <c r="V862" s="52"/>
    </row>
    <row r="863" spans="1:22" s="141" customFormat="1" ht="30.75" customHeight="1">
      <c r="A863" s="666"/>
      <c r="C863" s="1091" t="s">
        <v>765</v>
      </c>
      <c r="D863" s="1091"/>
      <c r="E863" s="1091"/>
      <c r="F863" s="1091"/>
      <c r="G863" s="1091"/>
      <c r="H863" s="1091"/>
      <c r="I863" s="1091"/>
      <c r="J863" s="1091"/>
      <c r="K863" s="1091"/>
      <c r="L863" s="1091"/>
      <c r="M863" s="1091"/>
      <c r="N863" s="1091"/>
      <c r="O863" s="1091"/>
      <c r="P863" s="1091"/>
      <c r="Q863" s="1091"/>
      <c r="R863" s="1091"/>
      <c r="S863" s="1091"/>
      <c r="T863" s="1091"/>
      <c r="U863" s="1091"/>
      <c r="V863" s="52"/>
    </row>
    <row r="864" spans="1:22" s="141" customFormat="1" ht="15">
      <c r="A864" s="666"/>
      <c r="C864" s="702"/>
      <c r="D864" s="702"/>
      <c r="E864" s="702"/>
      <c r="F864" s="702"/>
      <c r="G864" s="702"/>
      <c r="H864" s="702"/>
      <c r="I864" s="702"/>
      <c r="J864" s="702"/>
      <c r="K864" s="702"/>
      <c r="L864" s="702"/>
      <c r="M864" s="702"/>
      <c r="N864" s="702"/>
      <c r="O864" s="702"/>
      <c r="P864" s="702"/>
      <c r="Q864" s="702"/>
      <c r="R864" s="702"/>
      <c r="S864" s="702"/>
      <c r="T864" s="702"/>
      <c r="U864" s="702"/>
      <c r="V864" s="52"/>
    </row>
    <row r="865" spans="1:22" s="141" customFormat="1" ht="15">
      <c r="A865" s="666"/>
      <c r="C865" s="833"/>
      <c r="D865" s="833"/>
      <c r="E865" s="833"/>
      <c r="F865" s="833"/>
      <c r="G865" s="833"/>
      <c r="H865" s="833"/>
      <c r="I865" s="833"/>
      <c r="J865" s="833"/>
      <c r="K865" s="833"/>
      <c r="L865" s="833"/>
      <c r="M865" s="833"/>
      <c r="N865" s="833"/>
      <c r="O865" s="833"/>
      <c r="P865" s="833"/>
      <c r="Q865" s="833"/>
      <c r="R865" s="833"/>
      <c r="S865" s="833"/>
      <c r="T865" s="833"/>
      <c r="U865" s="833"/>
      <c r="V865" s="52"/>
    </row>
    <row r="866" spans="1:22" s="141" customFormat="1" ht="14.25" customHeight="1">
      <c r="A866" s="1156" t="s">
        <v>9</v>
      </c>
      <c r="B866" s="1169" t="s">
        <v>762</v>
      </c>
      <c r="C866" s="1169"/>
      <c r="D866" s="1169"/>
      <c r="E866" s="1169"/>
      <c r="F866" s="1178" t="s">
        <v>190</v>
      </c>
      <c r="G866" s="1178"/>
      <c r="H866" s="1178"/>
      <c r="I866" s="1178"/>
      <c r="J866" s="1178"/>
      <c r="K866" s="1178"/>
      <c r="L866" s="1178" t="s">
        <v>761</v>
      </c>
      <c r="M866" s="1178"/>
      <c r="N866" s="1178"/>
      <c r="O866" s="1178"/>
      <c r="P866" s="1178"/>
      <c r="Q866" s="1178"/>
      <c r="R866" s="1169" t="s">
        <v>763</v>
      </c>
      <c r="S866" s="1169"/>
      <c r="T866" s="1169"/>
      <c r="U866" s="1169"/>
      <c r="V866" s="52"/>
    </row>
    <row r="867" spans="1:32" s="141" customFormat="1" ht="14.25" customHeight="1">
      <c r="A867" s="1157"/>
      <c r="B867" s="1466">
        <f>B833</f>
        <v>2016</v>
      </c>
      <c r="C867" s="1467"/>
      <c r="D867" s="1467"/>
      <c r="E867" s="1467"/>
      <c r="F867" s="1169" t="s">
        <v>419</v>
      </c>
      <c r="G867" s="1169"/>
      <c r="H867" s="1169"/>
      <c r="I867" s="1169" t="s">
        <v>420</v>
      </c>
      <c r="J867" s="1169"/>
      <c r="K867" s="1169"/>
      <c r="L867" s="1169" t="s">
        <v>419</v>
      </c>
      <c r="M867" s="1169"/>
      <c r="N867" s="1169"/>
      <c r="O867" s="1170" t="s">
        <v>420</v>
      </c>
      <c r="P867" s="1170"/>
      <c r="Q867" s="1170"/>
      <c r="R867" s="1164">
        <f>R833</f>
        <v>2017</v>
      </c>
      <c r="S867" s="1165"/>
      <c r="T867" s="1165"/>
      <c r="U867" s="1166"/>
      <c r="V867" s="1087"/>
      <c r="W867" s="1075"/>
      <c r="X867" s="1076"/>
      <c r="Y867" s="1084" t="s">
        <v>1677</v>
      </c>
      <c r="Z867" s="1075"/>
      <c r="AA867" s="1075"/>
      <c r="AB867" s="1076"/>
      <c r="AC867" s="1747" t="s">
        <v>1676</v>
      </c>
      <c r="AD867" s="1748"/>
      <c r="AE867" s="1748"/>
      <c r="AF867" s="1748"/>
    </row>
    <row r="868" spans="1:32" s="141" customFormat="1" ht="24.75" customHeight="1">
      <c r="A868" s="824" t="str">
        <f>C861</f>
        <v>Peralatan dan Mesin</v>
      </c>
      <c r="B868" s="1486">
        <f>'4.NERACA'!D76</f>
        <v>999487126</v>
      </c>
      <c r="C868" s="1487"/>
      <c r="D868" s="1487"/>
      <c r="E868" s="1487"/>
      <c r="F868" s="1486">
        <f>'4.NERACA'!E76</f>
        <v>6167173</v>
      </c>
      <c r="G868" s="1487"/>
      <c r="H868" s="1488"/>
      <c r="I868" s="1486">
        <f>'4.NERACA'!F76</f>
        <v>23521173</v>
      </c>
      <c r="J868" s="1487"/>
      <c r="K868" s="1488"/>
      <c r="L868" s="1489">
        <f>'4.NERACA'!G76</f>
        <v>414513660</v>
      </c>
      <c r="M868" s="1490"/>
      <c r="N868" s="1491"/>
      <c r="O868" s="1489">
        <f>'4.NERACA'!H76</f>
        <v>104100000</v>
      </c>
      <c r="P868" s="1490"/>
      <c r="Q868" s="1491"/>
      <c r="R868" s="1486">
        <f>B868+F868-I868+L868-O868</f>
        <v>1292546786</v>
      </c>
      <c r="S868" s="1487"/>
      <c r="T868" s="1487"/>
      <c r="U868" s="1488"/>
      <c r="V868" s="1750"/>
      <c r="W868" s="1511"/>
      <c r="X868" s="1512"/>
      <c r="Y868" s="1751">
        <f>(R868-B868)/B868*100</f>
        <v>29.321003980595545</v>
      </c>
      <c r="Z868" s="1511"/>
      <c r="AA868" s="1511"/>
      <c r="AB868" s="1512"/>
      <c r="AC868" s="1752">
        <f>R868-B868</f>
        <v>293059660</v>
      </c>
      <c r="AD868" s="1753"/>
      <c r="AE868" s="1753"/>
      <c r="AF868" s="1754"/>
    </row>
    <row r="869" spans="1:32" s="141" customFormat="1" ht="8.25" customHeight="1">
      <c r="A869" s="82"/>
      <c r="B869" s="1337"/>
      <c r="C869" s="1337"/>
      <c r="D869" s="1337"/>
      <c r="E869" s="1337"/>
      <c r="F869" s="1337"/>
      <c r="G869" s="1337"/>
      <c r="H869" s="1337"/>
      <c r="I869" s="1337"/>
      <c r="J869" s="1337"/>
      <c r="K869" s="1337"/>
      <c r="L869" s="1337"/>
      <c r="M869" s="1337"/>
      <c r="N869" s="1337"/>
      <c r="O869" s="1337"/>
      <c r="P869" s="1337"/>
      <c r="Q869" s="1337"/>
      <c r="R869" s="1337"/>
      <c r="S869" s="1337"/>
      <c r="T869" s="1337"/>
      <c r="U869" s="1337"/>
      <c r="V869" s="1755"/>
      <c r="W869" s="1511"/>
      <c r="X869" s="1511"/>
      <c r="Y869" s="1756"/>
      <c r="Z869" s="1511"/>
      <c r="AA869" s="1511"/>
      <c r="AB869" s="1511"/>
      <c r="AC869" s="1756"/>
      <c r="AD869" s="1757"/>
      <c r="AE869" s="1757"/>
      <c r="AF869" s="1757"/>
    </row>
    <row r="870" spans="1:32" s="141" customFormat="1" ht="18" customHeight="1">
      <c r="A870" s="82"/>
      <c r="B870" s="1337" t="s">
        <v>764</v>
      </c>
      <c r="C870" s="1337"/>
      <c r="D870" s="1337"/>
      <c r="E870" s="1337"/>
      <c r="F870" s="1337"/>
      <c r="G870" s="1337"/>
      <c r="H870" s="1337"/>
      <c r="I870" s="1337"/>
      <c r="J870" s="1337"/>
      <c r="K870" s="1337"/>
      <c r="L870" s="1337"/>
      <c r="M870" s="1337"/>
      <c r="N870" s="1337"/>
      <c r="O870" s="1337"/>
      <c r="P870" s="1337"/>
      <c r="Q870" s="1337"/>
      <c r="R870" s="1337"/>
      <c r="S870" s="1337"/>
      <c r="T870" s="1337"/>
      <c r="U870" s="1337"/>
      <c r="V870" s="66"/>
      <c r="W870" s="130"/>
      <c r="X870" s="130"/>
      <c r="Y870" s="130"/>
      <c r="Z870" s="130"/>
      <c r="AA870" s="130"/>
      <c r="AB870" s="130"/>
      <c r="AC870" s="130"/>
      <c r="AD870" s="130"/>
      <c r="AE870" s="130"/>
      <c r="AF870" s="130"/>
    </row>
    <row r="871" spans="1:32" s="141" customFormat="1" ht="14.25" customHeight="1">
      <c r="A871" s="773" t="s">
        <v>1408</v>
      </c>
      <c r="B871" s="774" t="s">
        <v>15</v>
      </c>
      <c r="C871" s="1111" t="s">
        <v>768</v>
      </c>
      <c r="D871" s="1111"/>
      <c r="E871" s="1111"/>
      <c r="F871" s="1111"/>
      <c r="G871" s="1111"/>
      <c r="H871" s="1111"/>
      <c r="I871" s="1111"/>
      <c r="J871" s="1111"/>
      <c r="K871" s="1111"/>
      <c r="L871" s="1111"/>
      <c r="M871" s="1111"/>
      <c r="N871" s="1111"/>
      <c r="O871" s="1111"/>
      <c r="P871" s="1111"/>
      <c r="Q871" s="1111"/>
      <c r="R871" s="1111"/>
      <c r="S871" s="1111"/>
      <c r="T871" s="1111"/>
      <c r="U871" s="1111"/>
      <c r="V871" s="66"/>
      <c r="W871" s="130"/>
      <c r="X871" s="130"/>
      <c r="Y871" s="130"/>
      <c r="Z871" s="130"/>
      <c r="AA871" s="130"/>
      <c r="AB871" s="130"/>
      <c r="AC871" s="130"/>
      <c r="AD871" s="130"/>
      <c r="AE871" s="130"/>
      <c r="AF871" s="130"/>
    </row>
    <row r="872" spans="1:22" s="141" customFormat="1" ht="31.5" customHeight="1">
      <c r="A872" s="82"/>
      <c r="C872" s="1091" t="str">
        <f>"Saldo aset tetap berupa Alat-alat Besar Darat  per "&amp;'2.ISIAN DATA SKPD'!D8&amp;" dan  "&amp;'2.ISIAN DATA SKPD'!D12&amp;" adalah sebesar Rp. "&amp;FIXED(R876)&amp;" dan Rp. "&amp;FIXED(B876)&amp;"."</f>
        <v>Saldo aset tetap berupa Alat-alat Besar Darat  per 31 Desember 2017 dan  2016 adalah sebesar Rp. 0.00 dan Rp. 0.00.</v>
      </c>
      <c r="D872" s="1091"/>
      <c r="E872" s="1091"/>
      <c r="F872" s="1091"/>
      <c r="G872" s="1091"/>
      <c r="H872" s="1091"/>
      <c r="I872" s="1091"/>
      <c r="J872" s="1091"/>
      <c r="K872" s="1091"/>
      <c r="L872" s="1091"/>
      <c r="M872" s="1091"/>
      <c r="N872" s="1091"/>
      <c r="O872" s="1091"/>
      <c r="P872" s="1091"/>
      <c r="Q872" s="1091"/>
      <c r="R872" s="1091"/>
      <c r="S872" s="1091"/>
      <c r="T872" s="1091"/>
      <c r="U872" s="1091"/>
      <c r="V872" s="52"/>
    </row>
    <row r="873" spans="1:22" s="141" customFormat="1" ht="36.75" customHeight="1">
      <c r="A873" s="82"/>
      <c r="C873" s="1091" t="str">
        <f>"Dengan mutasi  selama tahun "&amp;'2.ISIAN DATA SKPD'!D11&amp;" sebagai berikut :"</f>
        <v>Dengan mutasi  selama tahun 2017 sebagai berikut :</v>
      </c>
      <c r="D873" s="1091"/>
      <c r="E873" s="1091"/>
      <c r="F873" s="1091"/>
      <c r="G873" s="1091"/>
      <c r="H873" s="1091"/>
      <c r="I873" s="1091"/>
      <c r="J873" s="1091"/>
      <c r="K873" s="1091"/>
      <c r="L873" s="1091"/>
      <c r="M873" s="1091"/>
      <c r="N873" s="1091"/>
      <c r="O873" s="1091"/>
      <c r="P873" s="1091"/>
      <c r="Q873" s="1091"/>
      <c r="R873" s="1091"/>
      <c r="S873" s="1091"/>
      <c r="T873" s="1091"/>
      <c r="U873" s="1091"/>
      <c r="V873" s="52"/>
    </row>
    <row r="874" spans="1:22" s="141" customFormat="1" ht="18" customHeight="1">
      <c r="A874" s="1156" t="s">
        <v>9</v>
      </c>
      <c r="B874" s="1169" t="s">
        <v>762</v>
      </c>
      <c r="C874" s="1169"/>
      <c r="D874" s="1169"/>
      <c r="E874" s="1169"/>
      <c r="F874" s="1178" t="s">
        <v>190</v>
      </c>
      <c r="G874" s="1178"/>
      <c r="H874" s="1178"/>
      <c r="I874" s="1178"/>
      <c r="J874" s="1178"/>
      <c r="K874" s="1178"/>
      <c r="L874" s="1178" t="s">
        <v>761</v>
      </c>
      <c r="M874" s="1178"/>
      <c r="N874" s="1178"/>
      <c r="O874" s="1178"/>
      <c r="P874" s="1178"/>
      <c r="Q874" s="1178"/>
      <c r="R874" s="1169" t="s">
        <v>763</v>
      </c>
      <c r="S874" s="1169"/>
      <c r="T874" s="1169"/>
      <c r="U874" s="1169"/>
      <c r="V874" s="52"/>
    </row>
    <row r="875" spans="1:22" s="141" customFormat="1" ht="14.25" customHeight="1">
      <c r="A875" s="1157"/>
      <c r="B875" s="1173">
        <f>B867</f>
        <v>2016</v>
      </c>
      <c r="C875" s="1174"/>
      <c r="D875" s="1174"/>
      <c r="E875" s="1175"/>
      <c r="F875" s="1169" t="s">
        <v>419</v>
      </c>
      <c r="G875" s="1169"/>
      <c r="H875" s="1169"/>
      <c r="I875" s="1169" t="s">
        <v>420</v>
      </c>
      <c r="J875" s="1169"/>
      <c r="K875" s="1169"/>
      <c r="L875" s="1169" t="s">
        <v>419</v>
      </c>
      <c r="M875" s="1169"/>
      <c r="N875" s="1169"/>
      <c r="O875" s="1170" t="s">
        <v>420</v>
      </c>
      <c r="P875" s="1170"/>
      <c r="Q875" s="1170"/>
      <c r="R875" s="1164">
        <f>R867</f>
        <v>2017</v>
      </c>
      <c r="S875" s="1165"/>
      <c r="T875" s="1165"/>
      <c r="U875" s="1166"/>
      <c r="V875" s="52"/>
    </row>
    <row r="876" spans="1:22" s="141" customFormat="1" ht="27.75" customHeight="1">
      <c r="A876" s="824" t="str">
        <f>C871</f>
        <v>Alat-alat Besar Darat</v>
      </c>
      <c r="B876" s="1486">
        <f>'4.NERACA'!D77</f>
        <v>0</v>
      </c>
      <c r="C876" s="1487"/>
      <c r="D876" s="1487"/>
      <c r="E876" s="1487"/>
      <c r="F876" s="1486">
        <f>'4.NERACA'!E77</f>
        <v>0</v>
      </c>
      <c r="G876" s="1487"/>
      <c r="H876" s="1488"/>
      <c r="I876" s="1486">
        <f>'4.NERACA'!H77</f>
        <v>0</v>
      </c>
      <c r="J876" s="1487"/>
      <c r="K876" s="1488"/>
      <c r="L876" s="1486">
        <f>'4.NERACA'!K77</f>
        <v>0</v>
      </c>
      <c r="M876" s="1487"/>
      <c r="N876" s="1488"/>
      <c r="O876" s="1486">
        <f>'4.NERACA'!O77</f>
        <v>0</v>
      </c>
      <c r="P876" s="1487"/>
      <c r="Q876" s="1488"/>
      <c r="R876" s="1486">
        <f>'4.NERACA'!I77</f>
        <v>0</v>
      </c>
      <c r="S876" s="1487"/>
      <c r="T876" s="1487"/>
      <c r="U876" s="1488"/>
      <c r="V876" s="52"/>
    </row>
    <row r="877" spans="1:22" s="141" customFormat="1" ht="8.25" customHeight="1">
      <c r="A877" s="82"/>
      <c r="B877" s="724"/>
      <c r="C877" s="724"/>
      <c r="D877" s="724"/>
      <c r="E877" s="724"/>
      <c r="F877" s="724"/>
      <c r="G877" s="724"/>
      <c r="H877" s="724"/>
      <c r="I877" s="724"/>
      <c r="J877" s="724"/>
      <c r="K877" s="724"/>
      <c r="L877" s="724"/>
      <c r="M877" s="724"/>
      <c r="N877" s="724"/>
      <c r="O877" s="724"/>
      <c r="P877" s="724"/>
      <c r="Q877" s="724"/>
      <c r="R877" s="724"/>
      <c r="S877" s="724"/>
      <c r="T877" s="724"/>
      <c r="U877" s="724"/>
      <c r="V877" s="52"/>
    </row>
    <row r="878" spans="1:22" s="141" customFormat="1" ht="21.75" customHeight="1">
      <c r="A878" s="82"/>
      <c r="B878" s="774" t="s">
        <v>16</v>
      </c>
      <c r="C878" s="1111" t="s">
        <v>551</v>
      </c>
      <c r="D878" s="1111"/>
      <c r="E878" s="1111"/>
      <c r="F878" s="1111"/>
      <c r="G878" s="1111"/>
      <c r="H878" s="1111"/>
      <c r="I878" s="1111"/>
      <c r="J878" s="1111"/>
      <c r="K878" s="1111"/>
      <c r="L878" s="1111"/>
      <c r="M878" s="1111"/>
      <c r="N878" s="1111"/>
      <c r="O878" s="1111"/>
      <c r="P878" s="1111"/>
      <c r="Q878" s="1111"/>
      <c r="R878" s="1111"/>
      <c r="S878" s="1111"/>
      <c r="T878" s="1111"/>
      <c r="U878" s="1111"/>
      <c r="V878" s="52"/>
    </row>
    <row r="879" spans="1:22" s="141" customFormat="1" ht="33.75" customHeight="1">
      <c r="A879" s="82"/>
      <c r="C879" s="1091" t="str">
        <f>"Nilai aset tetap berupa Alat-alat Bantu  per "&amp;'2.ISIAN DATA SKPD'!D8&amp;" dan  "&amp;'2.ISIAN DATA SKPD'!D17&amp;" adalah sebesar Rp. "&amp;FIXED(R884)&amp;" dan Rp. "&amp;FIXED(B884)&amp;"."</f>
        <v>Nilai aset tetap berupa Alat-alat Bantu  per 31 Desember 2017 dan   adalah sebesar Rp. 10,285,000.00 dan Rp. 10,285,000.00.</v>
      </c>
      <c r="D879" s="1091"/>
      <c r="E879" s="1091"/>
      <c r="F879" s="1091"/>
      <c r="G879" s="1091"/>
      <c r="H879" s="1091"/>
      <c r="I879" s="1091"/>
      <c r="J879" s="1091"/>
      <c r="K879" s="1091"/>
      <c r="L879" s="1091"/>
      <c r="M879" s="1091"/>
      <c r="N879" s="1091"/>
      <c r="O879" s="1091"/>
      <c r="P879" s="1091"/>
      <c r="Q879" s="1091"/>
      <c r="R879" s="1091"/>
      <c r="S879" s="1091"/>
      <c r="T879" s="1091"/>
      <c r="U879" s="1091"/>
      <c r="V879" s="52"/>
    </row>
    <row r="880" spans="1:22" s="141" customFormat="1" ht="21" customHeight="1">
      <c r="A880" s="82"/>
      <c r="C880" s="1091" t="str">
        <f>"Dengan mutasi  selama tahun "&amp;'2.ISIAN DATA SKPD'!D11&amp;" sebagai berikut :"</f>
        <v>Dengan mutasi  selama tahun 2017 sebagai berikut :</v>
      </c>
      <c r="D880" s="1091"/>
      <c r="E880" s="1091"/>
      <c r="F880" s="1091"/>
      <c r="G880" s="1091"/>
      <c r="H880" s="1091"/>
      <c r="I880" s="1091"/>
      <c r="J880" s="1091"/>
      <c r="K880" s="1091"/>
      <c r="L880" s="1091"/>
      <c r="M880" s="1091"/>
      <c r="N880" s="1091"/>
      <c r="O880" s="1091"/>
      <c r="P880" s="1091"/>
      <c r="Q880" s="1091"/>
      <c r="R880" s="1091"/>
      <c r="S880" s="1091"/>
      <c r="T880" s="1091"/>
      <c r="U880" s="1091"/>
      <c r="V880" s="52"/>
    </row>
    <row r="881" spans="1:22" s="141" customFormat="1" ht="6.75" customHeight="1">
      <c r="A881" s="82"/>
      <c r="C881" s="702"/>
      <c r="D881" s="702"/>
      <c r="E881" s="702"/>
      <c r="F881" s="702"/>
      <c r="G881" s="702"/>
      <c r="H881" s="702"/>
      <c r="I881" s="702"/>
      <c r="J881" s="702"/>
      <c r="K881" s="702"/>
      <c r="L881" s="702"/>
      <c r="M881" s="702"/>
      <c r="N881" s="702"/>
      <c r="O881" s="702"/>
      <c r="P881" s="702"/>
      <c r="Q881" s="702"/>
      <c r="R881" s="702"/>
      <c r="S881" s="702"/>
      <c r="T881" s="702"/>
      <c r="U881" s="702"/>
      <c r="V881" s="52"/>
    </row>
    <row r="882" spans="1:22" s="141" customFormat="1" ht="14.25" customHeight="1">
      <c r="A882" s="1156" t="s">
        <v>9</v>
      </c>
      <c r="B882" s="1077" t="s">
        <v>762</v>
      </c>
      <c r="C882" s="1077"/>
      <c r="D882" s="1077"/>
      <c r="E882" s="1077"/>
      <c r="F882" s="1151" t="s">
        <v>190</v>
      </c>
      <c r="G882" s="1151"/>
      <c r="H882" s="1151"/>
      <c r="I882" s="1151"/>
      <c r="J882" s="1151"/>
      <c r="K882" s="1151"/>
      <c r="L882" s="1151" t="s">
        <v>761</v>
      </c>
      <c r="M882" s="1151"/>
      <c r="N882" s="1151"/>
      <c r="O882" s="1151"/>
      <c r="P882" s="1151"/>
      <c r="Q882" s="1151"/>
      <c r="R882" s="1077" t="s">
        <v>763</v>
      </c>
      <c r="S882" s="1077"/>
      <c r="T882" s="1077"/>
      <c r="U882" s="1077"/>
      <c r="V882" s="52"/>
    </row>
    <row r="883" spans="1:22" s="141" customFormat="1" ht="14.25" customHeight="1">
      <c r="A883" s="1157"/>
      <c r="B883" s="1631">
        <f>B875</f>
        <v>2016</v>
      </c>
      <c r="C883" s="1632"/>
      <c r="D883" s="1632"/>
      <c r="E883" s="1632"/>
      <c r="F883" s="1077" t="s">
        <v>419</v>
      </c>
      <c r="G883" s="1077"/>
      <c r="H883" s="1077"/>
      <c r="I883" s="1077" t="s">
        <v>420</v>
      </c>
      <c r="J883" s="1077"/>
      <c r="K883" s="1077"/>
      <c r="L883" s="1077" t="s">
        <v>419</v>
      </c>
      <c r="M883" s="1077"/>
      <c r="N883" s="1077"/>
      <c r="O883" s="1150" t="s">
        <v>420</v>
      </c>
      <c r="P883" s="1150"/>
      <c r="Q883" s="1150"/>
      <c r="R883" s="1173">
        <f>R875</f>
        <v>2017</v>
      </c>
      <c r="S883" s="1174"/>
      <c r="T883" s="1174"/>
      <c r="U883" s="1175"/>
      <c r="V883" s="52"/>
    </row>
    <row r="884" spans="1:22" s="141" customFormat="1" ht="29.25" customHeight="1">
      <c r="A884" s="821" t="str">
        <f>C878</f>
        <v>Alat-alat Bantu</v>
      </c>
      <c r="B884" s="1481">
        <f>'4.NERACA'!D78</f>
        <v>10285000</v>
      </c>
      <c r="C884" s="1482"/>
      <c r="D884" s="1482"/>
      <c r="E884" s="1482"/>
      <c r="F884" s="1481">
        <f>'4.NERACA'!E78</f>
        <v>0</v>
      </c>
      <c r="G884" s="1482"/>
      <c r="H884" s="1483"/>
      <c r="I884" s="1481">
        <f>'4.NERACA'!F78</f>
        <v>0</v>
      </c>
      <c r="J884" s="1482"/>
      <c r="K884" s="1483"/>
      <c r="L884" s="1481">
        <f>'4.NERACA'!G78</f>
        <v>0</v>
      </c>
      <c r="M884" s="1482"/>
      <c r="N884" s="1483"/>
      <c r="O884" s="1481">
        <f>'4.NERACA'!H78</f>
        <v>0</v>
      </c>
      <c r="P884" s="1482"/>
      <c r="Q884" s="1483"/>
      <c r="R884" s="1481">
        <f>'4.NERACA'!I78</f>
        <v>10285000</v>
      </c>
      <c r="S884" s="1482"/>
      <c r="T884" s="1482"/>
      <c r="U884" s="1483"/>
      <c r="V884" s="52"/>
    </row>
    <row r="885" spans="1:22" s="141" customFormat="1" ht="5.25" customHeight="1">
      <c r="A885" s="81"/>
      <c r="B885" s="10"/>
      <c r="D885" s="10"/>
      <c r="E885" s="10"/>
      <c r="F885" s="11"/>
      <c r="G885" s="11"/>
      <c r="H885" s="11"/>
      <c r="I885" s="11"/>
      <c r="J885" s="11"/>
      <c r="K885" s="11"/>
      <c r="L885" s="11"/>
      <c r="M885" s="11"/>
      <c r="N885" s="11"/>
      <c r="O885" s="11"/>
      <c r="P885" s="11"/>
      <c r="Q885" s="11"/>
      <c r="R885" s="10"/>
      <c r="S885" s="10"/>
      <c r="T885" s="10"/>
      <c r="U885" s="10"/>
      <c r="V885" s="52"/>
    </row>
    <row r="886" spans="1:22" s="141" customFormat="1" ht="14.25" customHeight="1">
      <c r="A886" s="81"/>
      <c r="B886" s="10"/>
      <c r="C886" s="1693" t="s">
        <v>1562</v>
      </c>
      <c r="D886" s="1693"/>
      <c r="E886" s="1693"/>
      <c r="F886" s="1693"/>
      <c r="G886" s="1693"/>
      <c r="H886" s="1693"/>
      <c r="I886" s="1693"/>
      <c r="J886" s="1693"/>
      <c r="K886" s="1693"/>
      <c r="L886" s="1693"/>
      <c r="M886" s="1693"/>
      <c r="N886" s="1693"/>
      <c r="O886" s="1693"/>
      <c r="P886" s="1693"/>
      <c r="Q886" s="1693"/>
      <c r="R886" s="1693"/>
      <c r="S886" s="1693"/>
      <c r="T886" s="1693"/>
      <c r="U886" s="1693"/>
      <c r="V886" s="52"/>
    </row>
    <row r="887" spans="1:22" s="141" customFormat="1" ht="14.25" customHeight="1">
      <c r="A887" s="81"/>
      <c r="B887" s="10"/>
      <c r="C887" s="1111" t="str">
        <f>"    Mutasi/Koreksi debet sebesar Rp. "&amp;FIXED(F884+L884)&amp;"  :"</f>
        <v>    Mutasi/Koreksi debet sebesar Rp. 0.00  :</v>
      </c>
      <c r="D887" s="1111"/>
      <c r="E887" s="1111"/>
      <c r="F887" s="1111"/>
      <c r="G887" s="1111"/>
      <c r="H887" s="1111"/>
      <c r="I887" s="1111"/>
      <c r="J887" s="1111"/>
      <c r="K887" s="1111"/>
      <c r="L887" s="1111"/>
      <c r="M887" s="1111"/>
      <c r="N887" s="1111"/>
      <c r="O887" s="1111"/>
      <c r="P887" s="1111"/>
      <c r="Q887" s="1111"/>
      <c r="R887" s="1111"/>
      <c r="S887" s="1111"/>
      <c r="T887" s="1111"/>
      <c r="U887" s="1111"/>
      <c r="V887" s="52"/>
    </row>
    <row r="888" spans="1:22" s="141" customFormat="1" ht="14.25" customHeight="1">
      <c r="A888" s="81"/>
      <c r="B888" s="10"/>
      <c r="C888" s="1693" t="s">
        <v>1563</v>
      </c>
      <c r="D888" s="1693"/>
      <c r="E888" s="1693"/>
      <c r="F888" s="1693"/>
      <c r="G888" s="1693"/>
      <c r="H888" s="1693"/>
      <c r="I888" s="1693"/>
      <c r="J888" s="1693"/>
      <c r="K888" s="1693"/>
      <c r="L888" s="1693"/>
      <c r="M888" s="1693"/>
      <c r="N888" s="1693"/>
      <c r="O888" s="1693"/>
      <c r="P888" s="1693"/>
      <c r="Q888" s="1693"/>
      <c r="R888" s="1693"/>
      <c r="S888" s="1693"/>
      <c r="T888" s="1693"/>
      <c r="U888" s="1693"/>
      <c r="V888" s="52"/>
    </row>
    <row r="889" spans="1:22" s="141" customFormat="1" ht="14.25" customHeight="1">
      <c r="A889" s="81"/>
      <c r="B889" s="10"/>
      <c r="C889" s="1111" t="str">
        <f>"    Mutasi/Koreksi kredit sebesar Rp. "&amp;FIXED(I884+O884)&amp;" :"</f>
        <v>    Mutasi/Koreksi kredit sebesar Rp. 0.00 :</v>
      </c>
      <c r="D889" s="1111"/>
      <c r="E889" s="1111"/>
      <c r="F889" s="1111"/>
      <c r="G889" s="1111"/>
      <c r="H889" s="1111"/>
      <c r="I889" s="1111"/>
      <c r="J889" s="1111"/>
      <c r="K889" s="1111"/>
      <c r="L889" s="1111"/>
      <c r="M889" s="1111"/>
      <c r="N889" s="1111"/>
      <c r="O889" s="1111"/>
      <c r="P889" s="1111"/>
      <c r="Q889" s="1111"/>
      <c r="R889" s="1111"/>
      <c r="S889" s="1111"/>
      <c r="T889" s="1111"/>
      <c r="U889" s="1111"/>
      <c r="V889" s="52"/>
    </row>
    <row r="890" spans="1:22" s="141" customFormat="1" ht="5.25" customHeight="1">
      <c r="A890" s="81"/>
      <c r="B890" s="10"/>
      <c r="D890" s="10"/>
      <c r="E890" s="10"/>
      <c r="F890" s="11"/>
      <c r="G890" s="11"/>
      <c r="H890" s="11"/>
      <c r="I890" s="11"/>
      <c r="J890" s="11"/>
      <c r="K890" s="11"/>
      <c r="L890" s="11"/>
      <c r="M890" s="11"/>
      <c r="N890" s="11"/>
      <c r="O890" s="11"/>
      <c r="P890" s="11"/>
      <c r="Q890" s="11"/>
      <c r="R890" s="10"/>
      <c r="S890" s="10"/>
      <c r="T890" s="10"/>
      <c r="U890" s="10"/>
      <c r="V890" s="52"/>
    </row>
    <row r="891" spans="1:22" s="141" customFormat="1" ht="22.5" customHeight="1">
      <c r="A891" s="82"/>
      <c r="B891" s="774" t="s">
        <v>17</v>
      </c>
      <c r="C891" s="1111" t="s">
        <v>552</v>
      </c>
      <c r="D891" s="1111"/>
      <c r="E891" s="1111"/>
      <c r="F891" s="1111"/>
      <c r="G891" s="1111"/>
      <c r="H891" s="1111"/>
      <c r="I891" s="1111"/>
      <c r="J891" s="1111"/>
      <c r="K891" s="1111"/>
      <c r="L891" s="1111"/>
      <c r="M891" s="1111"/>
      <c r="N891" s="1111"/>
      <c r="O891" s="1111"/>
      <c r="P891" s="1111"/>
      <c r="Q891" s="1111"/>
      <c r="R891" s="1111"/>
      <c r="S891" s="1111"/>
      <c r="T891" s="1111"/>
      <c r="U891" s="1111"/>
      <c r="V891" s="52"/>
    </row>
    <row r="892" spans="1:22" s="141" customFormat="1" ht="48.75" customHeight="1">
      <c r="A892" s="82"/>
      <c r="C892" s="1091" t="str">
        <f>"Saldo aset tetap berupa alat angkutan darat bermotor  per "&amp;'2.ISIAN DATA SKPD'!D8&amp;" dan  "&amp;'2.ISIAN DATA SKPD'!D12&amp;" adalah sebesar Rp. "&amp;FIXED(R897)&amp;" dan Rp. "&amp;FIXED(B897)&amp;"."</f>
        <v>Saldo aset tetap berupa alat angkutan darat bermotor  per 31 Desember 2017 dan  2016 adalah sebesar Rp. 659,476,410.00 dan Rp. 539,348,910.00.</v>
      </c>
      <c r="D892" s="1091"/>
      <c r="E892" s="1091"/>
      <c r="F892" s="1091"/>
      <c r="G892" s="1091"/>
      <c r="H892" s="1091"/>
      <c r="I892" s="1091"/>
      <c r="J892" s="1091"/>
      <c r="K892" s="1091"/>
      <c r="L892" s="1091"/>
      <c r="M892" s="1091"/>
      <c r="N892" s="1091"/>
      <c r="O892" s="1091"/>
      <c r="P892" s="1091"/>
      <c r="Q892" s="1091"/>
      <c r="R892" s="1091"/>
      <c r="S892" s="1091"/>
      <c r="T892" s="1091"/>
      <c r="U892" s="1091"/>
      <c r="V892" s="52"/>
    </row>
    <row r="893" spans="1:22" s="141" customFormat="1" ht="15" customHeight="1">
      <c r="A893" s="82"/>
      <c r="B893" s="702"/>
      <c r="C893" s="1091" t="str">
        <f>"Dengan mutasi  selama tahun "&amp;'2.ISIAN DATA SKPD'!D23&amp;" sebagai berikut :"</f>
        <v>Dengan mutasi  selama tahun  sebagai berikut :</v>
      </c>
      <c r="D893" s="1091"/>
      <c r="E893" s="1091"/>
      <c r="F893" s="1091"/>
      <c r="G893" s="1091"/>
      <c r="H893" s="1091"/>
      <c r="I893" s="1091"/>
      <c r="J893" s="1091"/>
      <c r="K893" s="1091"/>
      <c r="L893" s="1091"/>
      <c r="M893" s="1091"/>
      <c r="N893" s="1091"/>
      <c r="O893" s="1091"/>
      <c r="P893" s="1091"/>
      <c r="Q893" s="1091"/>
      <c r="R893" s="1091"/>
      <c r="S893" s="1091"/>
      <c r="T893" s="1091"/>
      <c r="U893" s="1091"/>
      <c r="V893" s="52"/>
    </row>
    <row r="894" spans="1:22" s="141" customFormat="1" ht="8.25" customHeight="1">
      <c r="A894" s="82"/>
      <c r="B894" s="702"/>
      <c r="C894" s="702"/>
      <c r="D894" s="702"/>
      <c r="E894" s="702"/>
      <c r="F894" s="702"/>
      <c r="G894" s="702"/>
      <c r="H894" s="702"/>
      <c r="I894" s="702"/>
      <c r="J894" s="702"/>
      <c r="K894" s="702"/>
      <c r="L894" s="702"/>
      <c r="M894" s="702"/>
      <c r="N894" s="702"/>
      <c r="O894" s="702"/>
      <c r="P894" s="702"/>
      <c r="Q894" s="702"/>
      <c r="R894" s="702"/>
      <c r="S894" s="702"/>
      <c r="T894" s="702"/>
      <c r="U894" s="702"/>
      <c r="V894" s="52"/>
    </row>
    <row r="895" spans="1:22" s="141" customFormat="1" ht="15.75" customHeight="1">
      <c r="A895" s="1156" t="s">
        <v>9</v>
      </c>
      <c r="B895" s="1077" t="s">
        <v>762</v>
      </c>
      <c r="C895" s="1077"/>
      <c r="D895" s="1077"/>
      <c r="E895" s="1077"/>
      <c r="F895" s="1151" t="s">
        <v>190</v>
      </c>
      <c r="G895" s="1151"/>
      <c r="H895" s="1151"/>
      <c r="I895" s="1151"/>
      <c r="J895" s="1151"/>
      <c r="K895" s="1151"/>
      <c r="L895" s="1151" t="s">
        <v>761</v>
      </c>
      <c r="M895" s="1151"/>
      <c r="N895" s="1151"/>
      <c r="O895" s="1151"/>
      <c r="P895" s="1151"/>
      <c r="Q895" s="1151"/>
      <c r="R895" s="1077" t="s">
        <v>763</v>
      </c>
      <c r="S895" s="1077"/>
      <c r="T895" s="1077"/>
      <c r="U895" s="1077"/>
      <c r="V895" s="52"/>
    </row>
    <row r="896" spans="1:22" s="141" customFormat="1" ht="15.75" customHeight="1">
      <c r="A896" s="1157"/>
      <c r="B896" s="1631">
        <f>B883</f>
        <v>2016</v>
      </c>
      <c r="C896" s="1632"/>
      <c r="D896" s="1632"/>
      <c r="E896" s="1632"/>
      <c r="F896" s="1077" t="s">
        <v>419</v>
      </c>
      <c r="G896" s="1077"/>
      <c r="H896" s="1077"/>
      <c r="I896" s="1077" t="s">
        <v>420</v>
      </c>
      <c r="J896" s="1077"/>
      <c r="K896" s="1077"/>
      <c r="L896" s="1077" t="s">
        <v>419</v>
      </c>
      <c r="M896" s="1077"/>
      <c r="N896" s="1077"/>
      <c r="O896" s="1150" t="s">
        <v>420</v>
      </c>
      <c r="P896" s="1150"/>
      <c r="Q896" s="1150"/>
      <c r="R896" s="1173">
        <f>R883</f>
        <v>2017</v>
      </c>
      <c r="S896" s="1174"/>
      <c r="T896" s="1174"/>
      <c r="U896" s="1175"/>
      <c r="V896" s="52"/>
    </row>
    <row r="897" spans="1:22" s="141" customFormat="1" ht="39.75" customHeight="1">
      <c r="A897" s="821" t="str">
        <f>C891</f>
        <v>Alat Angkutan Darat Bermotor</v>
      </c>
      <c r="B897" s="1481">
        <f>'4.NERACA'!D79</f>
        <v>539348910</v>
      </c>
      <c r="C897" s="1482"/>
      <c r="D897" s="1482"/>
      <c r="E897" s="1482"/>
      <c r="F897" s="1481">
        <f>'4.NERACA'!E79</f>
        <v>0</v>
      </c>
      <c r="G897" s="1482"/>
      <c r="H897" s="1483"/>
      <c r="I897" s="1481">
        <f>'4.NERACA'!F79</f>
        <v>0</v>
      </c>
      <c r="J897" s="1482"/>
      <c r="K897" s="1483"/>
      <c r="L897" s="1477">
        <f>'4.NERACA'!G79</f>
        <v>224227500</v>
      </c>
      <c r="M897" s="1478"/>
      <c r="N897" s="1479"/>
      <c r="O897" s="1477">
        <f>'4.NERACA'!H79</f>
        <v>104100000</v>
      </c>
      <c r="P897" s="1478"/>
      <c r="Q897" s="1479"/>
      <c r="R897" s="1481">
        <f>'4.NERACA'!I79</f>
        <v>659476410</v>
      </c>
      <c r="S897" s="1482"/>
      <c r="T897" s="1482"/>
      <c r="U897" s="1483"/>
      <c r="V897" s="52"/>
    </row>
    <row r="898" spans="1:22" s="141" customFormat="1" ht="22.5" customHeight="1">
      <c r="A898" s="81"/>
      <c r="B898" s="1337" t="s">
        <v>766</v>
      </c>
      <c r="C898" s="1337"/>
      <c r="D898" s="1337"/>
      <c r="E898" s="1337"/>
      <c r="F898" s="1337"/>
      <c r="G898" s="1337"/>
      <c r="H898" s="1337"/>
      <c r="I898" s="1337"/>
      <c r="J898" s="1337"/>
      <c r="K898" s="1337"/>
      <c r="L898" s="1337"/>
      <c r="M898" s="1337"/>
      <c r="N898" s="1337"/>
      <c r="O898" s="1337"/>
      <c r="P898" s="1337"/>
      <c r="Q898" s="1337"/>
      <c r="R898" s="1337"/>
      <c r="S898" s="1337"/>
      <c r="T898" s="1337"/>
      <c r="U898" s="1337"/>
      <c r="V898" s="52"/>
    </row>
    <row r="899" spans="1:22" s="141" customFormat="1" ht="15.75" customHeight="1">
      <c r="A899" s="81"/>
      <c r="B899" s="92"/>
      <c r="C899" s="1337" t="s">
        <v>1562</v>
      </c>
      <c r="D899" s="1337"/>
      <c r="E899" s="1337"/>
      <c r="F899" s="1337"/>
      <c r="G899" s="1337"/>
      <c r="H899" s="1337"/>
      <c r="I899" s="1337"/>
      <c r="J899" s="1337"/>
      <c r="K899" s="1337"/>
      <c r="L899" s="1337"/>
      <c r="M899" s="1337"/>
      <c r="N899" s="1337"/>
      <c r="O899" s="1337"/>
      <c r="P899" s="1337"/>
      <c r="Q899" s="1337"/>
      <c r="R899" s="1337"/>
      <c r="S899" s="1337"/>
      <c r="T899" s="1337"/>
      <c r="U899" s="1337"/>
      <c r="V899" s="52"/>
    </row>
    <row r="900" spans="1:22" s="141" customFormat="1" ht="32.25" customHeight="1">
      <c r="A900" s="81"/>
      <c r="B900" s="629"/>
      <c r="C900" s="1337" t="str">
        <f>"Mutasi Debet sebesar Rp. "&amp;FIXED(F897+L897)&amp;" adalah hasil pengadaan barang tahun "&amp;'2.ISIAN DATA SKPD'!D11&amp;" dari belanja modal berupa mobil nopol AA 9930 NF, AA 112 F, AA 53 F"</f>
        <v>Mutasi Debet sebesar Rp. 224,227,500.00 adalah hasil pengadaan barang tahun 2017 dari belanja modal berupa mobil nopol AA 9930 NF, AA 112 F, AA 53 F</v>
      </c>
      <c r="D900" s="1337"/>
      <c r="E900" s="1337"/>
      <c r="F900" s="1337"/>
      <c r="G900" s="1337"/>
      <c r="H900" s="1337"/>
      <c r="I900" s="1337"/>
      <c r="J900" s="1337"/>
      <c r="K900" s="1337"/>
      <c r="L900" s="1337"/>
      <c r="M900" s="1337"/>
      <c r="N900" s="1337"/>
      <c r="O900" s="1337"/>
      <c r="P900" s="1337"/>
      <c r="Q900" s="1337"/>
      <c r="R900" s="1337"/>
      <c r="S900" s="1337"/>
      <c r="T900" s="1337"/>
      <c r="U900" s="1337"/>
      <c r="V900" s="52"/>
    </row>
    <row r="901" spans="1:22" s="141" customFormat="1" ht="14.25" customHeight="1">
      <c r="A901" s="81"/>
      <c r="B901" s="92"/>
      <c r="C901" s="1337" t="s">
        <v>1563</v>
      </c>
      <c r="D901" s="1337"/>
      <c r="E901" s="1337"/>
      <c r="F901" s="1337"/>
      <c r="G901" s="1337"/>
      <c r="H901" s="1337"/>
      <c r="I901" s="1337"/>
      <c r="J901" s="1337"/>
      <c r="K901" s="1337"/>
      <c r="L901" s="1337"/>
      <c r="M901" s="1337"/>
      <c r="N901" s="1337"/>
      <c r="O901" s="1337"/>
      <c r="P901" s="1337"/>
      <c r="Q901" s="1337"/>
      <c r="R901" s="1337"/>
      <c r="S901" s="1337"/>
      <c r="T901" s="1337"/>
      <c r="U901" s="1337"/>
      <c r="V901" s="52"/>
    </row>
    <row r="902" spans="1:22" s="141" customFormat="1" ht="63" customHeight="1">
      <c r="A902" s="81"/>
      <c r="B902" s="629"/>
      <c r="C902" s="1337" t="str">
        <f>"Mutasi Kredit Rp. "&amp;FIXED(I897+O897)&amp;" adalah Akm Peny  AA 112 F dan AA 9502 UF "</f>
        <v>Mutasi Kredit Rp. 104,100,000.00 adalah Akm Peny  AA 112 F dan AA 9502 UF </v>
      </c>
      <c r="D902" s="1337"/>
      <c r="E902" s="1337"/>
      <c r="F902" s="1337"/>
      <c r="G902" s="1337"/>
      <c r="H902" s="1337"/>
      <c r="I902" s="1337"/>
      <c r="J902" s="1337"/>
      <c r="K902" s="1337"/>
      <c r="L902" s="1337"/>
      <c r="M902" s="1337"/>
      <c r="N902" s="1337"/>
      <c r="O902" s="1337"/>
      <c r="P902" s="1337"/>
      <c r="Q902" s="1337"/>
      <c r="R902" s="1337"/>
      <c r="S902" s="1337"/>
      <c r="T902" s="1337"/>
      <c r="U902" s="1337"/>
      <c r="V902" s="52"/>
    </row>
    <row r="903" spans="1:22" s="141" customFormat="1" ht="7.5" customHeight="1">
      <c r="A903" s="81"/>
      <c r="B903" s="10"/>
      <c r="C903" s="1480"/>
      <c r="D903" s="1480"/>
      <c r="E903" s="1480"/>
      <c r="F903" s="1480"/>
      <c r="G903" s="1480"/>
      <c r="H903" s="1480"/>
      <c r="I903" s="1480"/>
      <c r="J903" s="1480"/>
      <c r="K903" s="1480"/>
      <c r="L903" s="1480"/>
      <c r="M903" s="1480"/>
      <c r="N903" s="1480"/>
      <c r="O903" s="1480"/>
      <c r="P903" s="1480"/>
      <c r="Q903" s="1480"/>
      <c r="R903" s="1480"/>
      <c r="S903" s="1480"/>
      <c r="T903" s="1480"/>
      <c r="U903" s="1480"/>
      <c r="V903" s="52"/>
    </row>
    <row r="904" spans="1:22" s="141" customFormat="1" ht="15" customHeight="1">
      <c r="A904" s="82"/>
      <c r="B904" s="774" t="s">
        <v>786</v>
      </c>
      <c r="C904" s="1111" t="s">
        <v>1251</v>
      </c>
      <c r="D904" s="1111"/>
      <c r="E904" s="1111"/>
      <c r="F904" s="1111"/>
      <c r="G904" s="1111"/>
      <c r="H904" s="1111"/>
      <c r="I904" s="1111"/>
      <c r="J904" s="1111"/>
      <c r="K904" s="1111"/>
      <c r="L904" s="1111"/>
      <c r="M904" s="1111"/>
      <c r="N904" s="1111"/>
      <c r="O904" s="1111"/>
      <c r="P904" s="1111"/>
      <c r="Q904" s="1111"/>
      <c r="R904" s="1111"/>
      <c r="S904" s="1111"/>
      <c r="T904" s="1111"/>
      <c r="U904" s="1111"/>
      <c r="V904" s="52"/>
    </row>
    <row r="905" spans="1:22" s="141" customFormat="1" ht="28.5" customHeight="1">
      <c r="A905" s="82"/>
      <c r="C905" s="1091" t="str">
        <f>"Nilai aset tetap berupa alat angkutan darat tak  bermotor  per "&amp;'2.ISIAN DATA SKPD'!D8&amp;" dan  "&amp;'2.ISIAN DATA SKPD'!D12&amp;" adalah sebesar Rp. "&amp;FIXED(R910)&amp;" dan Rp. "&amp;FIXED(B910)&amp;"."</f>
        <v>Nilai aset tetap berupa alat angkutan darat tak  bermotor  per 31 Desember 2017 dan  2016 adalah sebesar Rp. 0.00 dan Rp. 0.00.</v>
      </c>
      <c r="D905" s="1091"/>
      <c r="E905" s="1091"/>
      <c r="F905" s="1091"/>
      <c r="G905" s="1091"/>
      <c r="H905" s="1091"/>
      <c r="I905" s="1091"/>
      <c r="J905" s="1091"/>
      <c r="K905" s="1091"/>
      <c r="L905" s="1091"/>
      <c r="M905" s="1091"/>
      <c r="N905" s="1091"/>
      <c r="O905" s="1091"/>
      <c r="P905" s="1091"/>
      <c r="Q905" s="1091"/>
      <c r="R905" s="1091"/>
      <c r="S905" s="1091"/>
      <c r="T905" s="1091"/>
      <c r="U905" s="1091"/>
      <c r="V905" s="52"/>
    </row>
    <row r="906" spans="1:22" s="141" customFormat="1" ht="15">
      <c r="A906" s="82"/>
      <c r="C906" s="702"/>
      <c r="D906" s="702"/>
      <c r="E906" s="702"/>
      <c r="F906" s="702"/>
      <c r="G906" s="702"/>
      <c r="H906" s="702"/>
      <c r="I906" s="702"/>
      <c r="J906" s="702"/>
      <c r="K906" s="702"/>
      <c r="L906" s="702"/>
      <c r="M906" s="702"/>
      <c r="N906" s="702"/>
      <c r="O906" s="702"/>
      <c r="P906" s="702"/>
      <c r="Q906" s="702"/>
      <c r="R906" s="702"/>
      <c r="S906" s="702"/>
      <c r="T906" s="702"/>
      <c r="U906" s="702"/>
      <c r="V906" s="52"/>
    </row>
    <row r="907" spans="1:22" s="141" customFormat="1" ht="20.25" customHeight="1">
      <c r="A907" s="82"/>
      <c r="B907" s="702"/>
      <c r="C907" s="1091" t="str">
        <f>"Dengan mutasi  selama tahun "&amp;'2.ISIAN DATA SKPD'!D35&amp;" sebagai berikut :"</f>
        <v>Dengan mutasi  selama tahun  sebagai berikut :</v>
      </c>
      <c r="D907" s="1091"/>
      <c r="E907" s="1091"/>
      <c r="F907" s="1091"/>
      <c r="G907" s="1091"/>
      <c r="H907" s="1091"/>
      <c r="I907" s="1091"/>
      <c r="J907" s="1091"/>
      <c r="K907" s="1091"/>
      <c r="L907" s="1091"/>
      <c r="M907" s="1091"/>
      <c r="N907" s="1091"/>
      <c r="O907" s="1091"/>
      <c r="P907" s="1091"/>
      <c r="Q907" s="1091"/>
      <c r="R907" s="1091"/>
      <c r="S907" s="1091"/>
      <c r="T907" s="1091"/>
      <c r="U907" s="1091"/>
      <c r="V907" s="52"/>
    </row>
    <row r="908" spans="1:22" s="141" customFormat="1" ht="15.75" customHeight="1">
      <c r="A908" s="1156" t="s">
        <v>9</v>
      </c>
      <c r="B908" s="1169" t="s">
        <v>762</v>
      </c>
      <c r="C908" s="1169"/>
      <c r="D908" s="1169"/>
      <c r="E908" s="1169"/>
      <c r="F908" s="1178" t="s">
        <v>190</v>
      </c>
      <c r="G908" s="1178"/>
      <c r="H908" s="1178"/>
      <c r="I908" s="1178"/>
      <c r="J908" s="1178"/>
      <c r="K908" s="1178"/>
      <c r="L908" s="1178" t="s">
        <v>761</v>
      </c>
      <c r="M908" s="1178"/>
      <c r="N908" s="1178"/>
      <c r="O908" s="1178"/>
      <c r="P908" s="1178"/>
      <c r="Q908" s="1178"/>
      <c r="R908" s="1173" t="s">
        <v>763</v>
      </c>
      <c r="S908" s="1174"/>
      <c r="T908" s="1174"/>
      <c r="U908" s="1175"/>
      <c r="V908" s="52"/>
    </row>
    <row r="909" spans="1:22" s="141" customFormat="1" ht="15.75" customHeight="1">
      <c r="A909" s="1157"/>
      <c r="B909" s="1466">
        <f>B896</f>
        <v>2016</v>
      </c>
      <c r="C909" s="1467"/>
      <c r="D909" s="1467"/>
      <c r="E909" s="1467"/>
      <c r="F909" s="1169" t="s">
        <v>419</v>
      </c>
      <c r="G909" s="1169"/>
      <c r="H909" s="1169"/>
      <c r="I909" s="1169" t="s">
        <v>420</v>
      </c>
      <c r="J909" s="1169"/>
      <c r="K909" s="1169"/>
      <c r="L909" s="1169" t="s">
        <v>419</v>
      </c>
      <c r="M909" s="1169"/>
      <c r="N909" s="1169"/>
      <c r="O909" s="1170" t="s">
        <v>420</v>
      </c>
      <c r="P909" s="1170"/>
      <c r="Q909" s="1170"/>
      <c r="R909" s="1173">
        <f>R896</f>
        <v>2017</v>
      </c>
      <c r="S909" s="1174"/>
      <c r="T909" s="1174"/>
      <c r="U909" s="1175"/>
      <c r="V909" s="52"/>
    </row>
    <row r="910" spans="1:22" s="141" customFormat="1" ht="42.75" customHeight="1">
      <c r="A910" s="821" t="str">
        <f>C904</f>
        <v>Alat  Angkutan Darat Tak Bermotor</v>
      </c>
      <c r="B910" s="1481">
        <f>'4.NERACA'!D80</f>
        <v>0</v>
      </c>
      <c r="C910" s="1482"/>
      <c r="D910" s="1482"/>
      <c r="E910" s="1482"/>
      <c r="F910" s="1481">
        <f>'4.NERACA'!E80</f>
        <v>0</v>
      </c>
      <c r="G910" s="1482"/>
      <c r="H910" s="1483"/>
      <c r="I910" s="1481">
        <f>'4.NERACA'!F80</f>
        <v>0</v>
      </c>
      <c r="J910" s="1482"/>
      <c r="K910" s="1483"/>
      <c r="L910" s="1481">
        <f>'4.NERACA'!G80</f>
        <v>0</v>
      </c>
      <c r="M910" s="1482"/>
      <c r="N910" s="1483"/>
      <c r="O910" s="1481">
        <f>'4.NERACA'!H80</f>
        <v>0</v>
      </c>
      <c r="P910" s="1482"/>
      <c r="Q910" s="1483"/>
      <c r="R910" s="1481">
        <f>'4.NERACA'!I80</f>
        <v>0</v>
      </c>
      <c r="S910" s="1482"/>
      <c r="T910" s="1482"/>
      <c r="U910" s="1483"/>
      <c r="V910" s="52"/>
    </row>
    <row r="911" spans="1:22" s="141" customFormat="1" ht="22.5" customHeight="1">
      <c r="A911" s="81"/>
      <c r="B911" s="1337" t="s">
        <v>766</v>
      </c>
      <c r="C911" s="1337"/>
      <c r="D911" s="1337"/>
      <c r="E911" s="1337"/>
      <c r="F911" s="1337"/>
      <c r="G911" s="1337"/>
      <c r="H911" s="1337"/>
      <c r="I911" s="1337"/>
      <c r="J911" s="1337"/>
      <c r="K911" s="1337"/>
      <c r="L911" s="1337"/>
      <c r="M911" s="1337"/>
      <c r="N911" s="1337"/>
      <c r="O911" s="1337"/>
      <c r="P911" s="1337"/>
      <c r="Q911" s="1337"/>
      <c r="R911" s="1337"/>
      <c r="S911" s="1337"/>
      <c r="T911" s="1337"/>
      <c r="U911" s="1337"/>
      <c r="V911" s="52"/>
    </row>
    <row r="912" spans="1:22" s="141" customFormat="1" ht="18" customHeight="1">
      <c r="A912" s="81"/>
      <c r="B912" s="92"/>
      <c r="C912" s="1337" t="s">
        <v>1562</v>
      </c>
      <c r="D912" s="1337"/>
      <c r="E912" s="1337"/>
      <c r="F912" s="1337"/>
      <c r="G912" s="1337"/>
      <c r="H912" s="1337"/>
      <c r="I912" s="1337"/>
      <c r="J912" s="1337"/>
      <c r="K912" s="1337"/>
      <c r="L912" s="1337"/>
      <c r="M912" s="1337"/>
      <c r="N912" s="1337"/>
      <c r="O912" s="1337"/>
      <c r="P912" s="1337"/>
      <c r="Q912" s="1337"/>
      <c r="R912" s="1337"/>
      <c r="S912" s="1337"/>
      <c r="T912" s="1337"/>
      <c r="U912" s="1337"/>
      <c r="V912" s="52"/>
    </row>
    <row r="913" spans="1:22" s="141" customFormat="1" ht="16.5" customHeight="1">
      <c r="A913" s="81"/>
      <c r="B913" s="629"/>
      <c r="C913" s="1609" t="str">
        <f>"Mutasi Debet sebesar Rp. "&amp;FIXED(F910+L910)&amp;" "</f>
        <v>Mutasi Debet sebesar Rp. 0.00 </v>
      </c>
      <c r="D913" s="1609"/>
      <c r="E913" s="1609"/>
      <c r="F913" s="1609"/>
      <c r="G913" s="1609"/>
      <c r="H913" s="1609"/>
      <c r="I913" s="1609"/>
      <c r="J913" s="1609"/>
      <c r="K913" s="1609"/>
      <c r="L913" s="1609"/>
      <c r="M913" s="1609"/>
      <c r="N913" s="1609"/>
      <c r="O913" s="1609"/>
      <c r="P913" s="1609"/>
      <c r="Q913" s="1609"/>
      <c r="R913" s="1609"/>
      <c r="S913" s="1609"/>
      <c r="T913" s="1609"/>
      <c r="U913" s="1609"/>
      <c r="V913" s="52"/>
    </row>
    <row r="914" spans="1:22" s="141" customFormat="1" ht="15.75" customHeight="1">
      <c r="A914" s="81"/>
      <c r="B914" s="92"/>
      <c r="C914" s="1337" t="s">
        <v>1563</v>
      </c>
      <c r="D914" s="1337"/>
      <c r="E914" s="1337"/>
      <c r="F914" s="1337"/>
      <c r="G914" s="1337"/>
      <c r="H914" s="1337"/>
      <c r="I914" s="1337"/>
      <c r="J914" s="1337"/>
      <c r="K914" s="1337"/>
      <c r="L914" s="1337"/>
      <c r="M914" s="1337"/>
      <c r="N914" s="1337"/>
      <c r="O914" s="1337"/>
      <c r="P914" s="1337"/>
      <c r="Q914" s="1337"/>
      <c r="R914" s="1337"/>
      <c r="S914" s="1337"/>
      <c r="T914" s="1337"/>
      <c r="U914" s="1337"/>
      <c r="V914" s="52"/>
    </row>
    <row r="915" spans="1:22" s="141" customFormat="1" ht="19.5" customHeight="1">
      <c r="A915" s="81"/>
      <c r="B915" s="629"/>
      <c r="C915" s="1609" t="str">
        <f>"Mutasi Kredit Rp. "&amp;FIXED(I910+O910)&amp;" "</f>
        <v>Mutasi Kredit Rp. 0.00 </v>
      </c>
      <c r="D915" s="1609"/>
      <c r="E915" s="1609"/>
      <c r="F915" s="1609"/>
      <c r="G915" s="1609"/>
      <c r="H915" s="1609"/>
      <c r="I915" s="1609"/>
      <c r="J915" s="1609"/>
      <c r="K915" s="1609"/>
      <c r="L915" s="1609"/>
      <c r="M915" s="1609"/>
      <c r="N915" s="1609"/>
      <c r="O915" s="1609"/>
      <c r="P915" s="1609"/>
      <c r="Q915" s="1609"/>
      <c r="R915" s="1609"/>
      <c r="S915" s="1609"/>
      <c r="T915" s="1609"/>
      <c r="U915" s="1609"/>
      <c r="V915" s="52"/>
    </row>
    <row r="916" spans="1:22" s="141" customFormat="1" ht="4.5" customHeight="1">
      <c r="A916" s="81"/>
      <c r="B916" s="10"/>
      <c r="C916" s="10"/>
      <c r="D916" s="10"/>
      <c r="E916" s="10"/>
      <c r="F916" s="11"/>
      <c r="G916" s="11"/>
      <c r="H916" s="11"/>
      <c r="I916" s="11"/>
      <c r="J916" s="11"/>
      <c r="K916" s="11"/>
      <c r="L916" s="11"/>
      <c r="M916" s="11"/>
      <c r="N916" s="11"/>
      <c r="O916" s="11"/>
      <c r="P916" s="11"/>
      <c r="Q916" s="11"/>
      <c r="R916" s="10"/>
      <c r="S916" s="10"/>
      <c r="T916" s="10"/>
      <c r="U916" s="10"/>
      <c r="V916" s="52"/>
    </row>
    <row r="917" spans="1:22" s="141" customFormat="1" ht="17.25" customHeight="1">
      <c r="A917" s="82"/>
      <c r="B917" s="774" t="s">
        <v>1221</v>
      </c>
      <c r="C917" s="1111" t="s">
        <v>769</v>
      </c>
      <c r="D917" s="1111"/>
      <c r="E917" s="1111"/>
      <c r="F917" s="1111"/>
      <c r="G917" s="1111"/>
      <c r="H917" s="1111"/>
      <c r="I917" s="1111"/>
      <c r="J917" s="1111"/>
      <c r="K917" s="1111"/>
      <c r="L917" s="1111"/>
      <c r="M917" s="1111"/>
      <c r="N917" s="1111"/>
      <c r="O917" s="1111"/>
      <c r="P917" s="1111"/>
      <c r="Q917" s="1111"/>
      <c r="R917" s="1111"/>
      <c r="S917" s="1111"/>
      <c r="T917" s="1111"/>
      <c r="U917" s="1111"/>
      <c r="V917" s="52"/>
    </row>
    <row r="918" spans="1:22" s="141" customFormat="1" ht="47.25" customHeight="1">
      <c r="A918" s="82"/>
      <c r="C918" s="1091" t="str">
        <f>"Nilai aset tetap berupa alat ukur  per "&amp;'2.ISIAN DATA SKPD'!D8&amp;" dan  "&amp;'2.ISIAN DATA SKPD'!D12&amp;" adalah sebesar Rp. 0 dan Rp. 0 mengalami kenaikan/penurunan sebesar Rp. 0 atau sebesar 0 % dari tahun "&amp;'2.ISIAN DATA SKPD'!D12&amp;"."</f>
        <v>Nilai aset tetap berupa alat ukur  per 31 Desember 2017 dan  2016 adalah sebesar Rp. 0 dan Rp. 0 mengalami kenaikan/penurunan sebesar Rp. 0 atau sebesar 0 % dari tahun 2016.</v>
      </c>
      <c r="D918" s="1091"/>
      <c r="E918" s="1091"/>
      <c r="F918" s="1091"/>
      <c r="G918" s="1091"/>
      <c r="H918" s="1091"/>
      <c r="I918" s="1091"/>
      <c r="J918" s="1091"/>
      <c r="K918" s="1091"/>
      <c r="L918" s="1091"/>
      <c r="M918" s="1091"/>
      <c r="N918" s="1091"/>
      <c r="O918" s="1091"/>
      <c r="P918" s="1091"/>
      <c r="Q918" s="1091"/>
      <c r="R918" s="1091"/>
      <c r="S918" s="1091"/>
      <c r="T918" s="1091"/>
      <c r="U918" s="1091"/>
      <c r="V918" s="52"/>
    </row>
    <row r="919" spans="1:22" s="141" customFormat="1" ht="14.25" customHeight="1">
      <c r="A919" s="82"/>
      <c r="C919" s="1091" t="str">
        <f>"Dengan mutasi  selama tahun "&amp;'2.ISIAN DATA SKPD'!D11&amp;" sebagai berikut :"</f>
        <v>Dengan mutasi  selama tahun 2017 sebagai berikut :</v>
      </c>
      <c r="D919" s="1091"/>
      <c r="E919" s="1091"/>
      <c r="F919" s="1091"/>
      <c r="G919" s="1091"/>
      <c r="H919" s="1091"/>
      <c r="I919" s="1091"/>
      <c r="J919" s="1091"/>
      <c r="K919" s="1091"/>
      <c r="L919" s="1091"/>
      <c r="M919" s="1091"/>
      <c r="N919" s="1091"/>
      <c r="O919" s="1091"/>
      <c r="P919" s="1091"/>
      <c r="Q919" s="1091"/>
      <c r="R919" s="1091"/>
      <c r="S919" s="1091"/>
      <c r="T919" s="1091"/>
      <c r="U919" s="1091"/>
      <c r="V919" s="52"/>
    </row>
    <row r="920" spans="1:22" s="141" customFormat="1" ht="6.75" customHeight="1">
      <c r="A920" s="82"/>
      <c r="C920" s="702"/>
      <c r="D920" s="702"/>
      <c r="E920" s="702"/>
      <c r="F920" s="702"/>
      <c r="G920" s="702"/>
      <c r="H920" s="702"/>
      <c r="I920" s="702"/>
      <c r="J920" s="702"/>
      <c r="K920" s="702"/>
      <c r="L920" s="702"/>
      <c r="M920" s="702"/>
      <c r="N920" s="702"/>
      <c r="O920" s="702"/>
      <c r="P920" s="702"/>
      <c r="Q920" s="702"/>
      <c r="R920" s="702"/>
      <c r="S920" s="702"/>
      <c r="T920" s="702"/>
      <c r="U920" s="702"/>
      <c r="V920" s="52"/>
    </row>
    <row r="921" spans="1:22" s="141" customFormat="1" ht="15.75" customHeight="1">
      <c r="A921" s="1156" t="s">
        <v>9</v>
      </c>
      <c r="B921" s="1169" t="s">
        <v>762</v>
      </c>
      <c r="C921" s="1169"/>
      <c r="D921" s="1169"/>
      <c r="E921" s="1169"/>
      <c r="F921" s="1178" t="s">
        <v>190</v>
      </c>
      <c r="G921" s="1178"/>
      <c r="H921" s="1178"/>
      <c r="I921" s="1178"/>
      <c r="J921" s="1178"/>
      <c r="K921" s="1178"/>
      <c r="L921" s="1178" t="s">
        <v>761</v>
      </c>
      <c r="M921" s="1178"/>
      <c r="N921" s="1178"/>
      <c r="O921" s="1178"/>
      <c r="P921" s="1178"/>
      <c r="Q921" s="1178"/>
      <c r="R921" s="1169" t="s">
        <v>763</v>
      </c>
      <c r="S921" s="1169"/>
      <c r="T921" s="1169"/>
      <c r="U921" s="1169"/>
      <c r="V921" s="52"/>
    </row>
    <row r="922" spans="1:22" s="141" customFormat="1" ht="15.75" customHeight="1">
      <c r="A922" s="1157"/>
      <c r="B922" s="1466">
        <f>B909</f>
        <v>2016</v>
      </c>
      <c r="C922" s="1467"/>
      <c r="D922" s="1467"/>
      <c r="E922" s="1467"/>
      <c r="F922" s="1169" t="s">
        <v>419</v>
      </c>
      <c r="G922" s="1169"/>
      <c r="H922" s="1169"/>
      <c r="I922" s="1169" t="s">
        <v>420</v>
      </c>
      <c r="J922" s="1169"/>
      <c r="K922" s="1169"/>
      <c r="L922" s="1169" t="s">
        <v>419</v>
      </c>
      <c r="M922" s="1169"/>
      <c r="N922" s="1169"/>
      <c r="O922" s="1170" t="s">
        <v>420</v>
      </c>
      <c r="P922" s="1170"/>
      <c r="Q922" s="1170"/>
      <c r="R922" s="1173">
        <f>R909</f>
        <v>2017</v>
      </c>
      <c r="S922" s="1174"/>
      <c r="T922" s="1174"/>
      <c r="U922" s="1175"/>
      <c r="V922" s="52"/>
    </row>
    <row r="923" spans="1:22" s="141" customFormat="1" ht="21" customHeight="1">
      <c r="A923" s="821" t="str">
        <f>C917</f>
        <v>Alat  Ukur</v>
      </c>
      <c r="B923" s="1481">
        <f>'4.NERACA'!D81</f>
        <v>0</v>
      </c>
      <c r="C923" s="1482"/>
      <c r="D923" s="1482"/>
      <c r="E923" s="1482"/>
      <c r="F923" s="1481">
        <f>'4.NERACA'!E81</f>
        <v>0</v>
      </c>
      <c r="G923" s="1482"/>
      <c r="H923" s="1483"/>
      <c r="I923" s="1481">
        <f>'4.NERACA'!F81</f>
        <v>0</v>
      </c>
      <c r="J923" s="1482"/>
      <c r="K923" s="1483"/>
      <c r="L923" s="1481">
        <f>'4.NERACA'!G81</f>
        <v>0</v>
      </c>
      <c r="M923" s="1482"/>
      <c r="N923" s="1483"/>
      <c r="O923" s="1481">
        <f>'4.NERACA'!H81</f>
        <v>0</v>
      </c>
      <c r="P923" s="1482"/>
      <c r="Q923" s="1483"/>
      <c r="R923" s="1481">
        <f>B923+F923-I923+L923-O923</f>
        <v>0</v>
      </c>
      <c r="S923" s="1482"/>
      <c r="T923" s="1482"/>
      <c r="U923" s="1483"/>
      <c r="V923" s="52"/>
    </row>
    <row r="924" spans="1:22" s="141" customFormat="1" ht="18" customHeight="1">
      <c r="A924" s="81"/>
      <c r="B924" s="1337" t="s">
        <v>766</v>
      </c>
      <c r="C924" s="1337"/>
      <c r="D924" s="1337"/>
      <c r="E924" s="1337"/>
      <c r="F924" s="1337"/>
      <c r="G924" s="1337"/>
      <c r="H924" s="1337"/>
      <c r="I924" s="1337"/>
      <c r="J924" s="1337"/>
      <c r="K924" s="1337"/>
      <c r="L924" s="1337"/>
      <c r="M924" s="1337"/>
      <c r="N924" s="1337"/>
      <c r="O924" s="1337"/>
      <c r="P924" s="1337"/>
      <c r="Q924" s="1337"/>
      <c r="R924" s="1337"/>
      <c r="S924" s="1337"/>
      <c r="T924" s="1337"/>
      <c r="U924" s="1337"/>
      <c r="V924" s="52"/>
    </row>
    <row r="925" spans="1:22" s="141" customFormat="1" ht="16.5" customHeight="1">
      <c r="A925" s="81"/>
      <c r="B925" s="92"/>
      <c r="C925" s="1337" t="s">
        <v>1562</v>
      </c>
      <c r="D925" s="1337"/>
      <c r="E925" s="1337"/>
      <c r="F925" s="1337"/>
      <c r="G925" s="1337"/>
      <c r="H925" s="1337"/>
      <c r="I925" s="1337"/>
      <c r="J925" s="1337"/>
      <c r="K925" s="1337"/>
      <c r="L925" s="1337"/>
      <c r="M925" s="1337"/>
      <c r="N925" s="1337"/>
      <c r="O925" s="1337"/>
      <c r="P925" s="1337"/>
      <c r="Q925" s="1337"/>
      <c r="R925" s="1337"/>
      <c r="S925" s="1337"/>
      <c r="T925" s="1337"/>
      <c r="U925" s="1337"/>
      <c r="V925" s="52"/>
    </row>
    <row r="926" spans="1:22" s="141" customFormat="1" ht="15.75" customHeight="1">
      <c r="A926" s="81"/>
      <c r="B926" s="629"/>
      <c r="C926" s="1168" t="s">
        <v>1575</v>
      </c>
      <c r="D926" s="1168"/>
      <c r="E926" s="1168"/>
      <c r="F926" s="1168"/>
      <c r="G926" s="1168"/>
      <c r="H926" s="1168"/>
      <c r="I926" s="1168"/>
      <c r="J926" s="1168"/>
      <c r="K926" s="1168"/>
      <c r="L926" s="1168"/>
      <c r="M926" s="1168"/>
      <c r="N926" s="1168"/>
      <c r="O926" s="1168"/>
      <c r="P926" s="1168"/>
      <c r="Q926" s="1168"/>
      <c r="R926" s="1168"/>
      <c r="S926" s="1168"/>
      <c r="T926" s="1168"/>
      <c r="U926" s="1168"/>
      <c r="V926" s="52"/>
    </row>
    <row r="927" spans="1:22" s="141" customFormat="1" ht="17.25" customHeight="1">
      <c r="A927" s="81"/>
      <c r="B927" s="92"/>
      <c r="C927" s="1337" t="s">
        <v>1563</v>
      </c>
      <c r="D927" s="1337"/>
      <c r="E927" s="1337"/>
      <c r="F927" s="1337"/>
      <c r="G927" s="1337"/>
      <c r="H927" s="1337"/>
      <c r="I927" s="1337"/>
      <c r="J927" s="1337"/>
      <c r="K927" s="1337"/>
      <c r="L927" s="1337"/>
      <c r="M927" s="1337"/>
      <c r="N927" s="1337"/>
      <c r="O927" s="1337"/>
      <c r="P927" s="1337"/>
      <c r="Q927" s="1337"/>
      <c r="R927" s="1337"/>
      <c r="S927" s="1337"/>
      <c r="T927" s="1337"/>
      <c r="U927" s="1337"/>
      <c r="V927" s="52"/>
    </row>
    <row r="928" spans="1:22" s="141" customFormat="1" ht="15.75" customHeight="1">
      <c r="A928" s="81"/>
      <c r="B928" s="629"/>
      <c r="C928" s="1168" t="s">
        <v>1575</v>
      </c>
      <c r="D928" s="1168"/>
      <c r="E928" s="1168"/>
      <c r="F928" s="1168"/>
      <c r="G928" s="1168"/>
      <c r="H928" s="1168"/>
      <c r="I928" s="1168"/>
      <c r="J928" s="1168"/>
      <c r="K928" s="1168"/>
      <c r="L928" s="1168"/>
      <c r="M928" s="1168"/>
      <c r="N928" s="1168"/>
      <c r="O928" s="1168"/>
      <c r="P928" s="1168"/>
      <c r="Q928" s="1168"/>
      <c r="R928" s="1168"/>
      <c r="S928" s="1168"/>
      <c r="T928" s="1168"/>
      <c r="U928" s="1168"/>
      <c r="V928" s="52"/>
    </row>
    <row r="929" spans="1:22" s="141" customFormat="1" ht="4.5" customHeight="1">
      <c r="A929" s="81"/>
      <c r="B929" s="10"/>
      <c r="C929" s="708"/>
      <c r="D929" s="708"/>
      <c r="E929" s="708"/>
      <c r="F929" s="708"/>
      <c r="G929" s="708"/>
      <c r="H929" s="708"/>
      <c r="I929" s="708"/>
      <c r="J929" s="708"/>
      <c r="K929" s="708"/>
      <c r="L929" s="708"/>
      <c r="M929" s="708"/>
      <c r="N929" s="708"/>
      <c r="O929" s="708"/>
      <c r="P929" s="708"/>
      <c r="Q929" s="708"/>
      <c r="R929" s="708"/>
      <c r="S929" s="708"/>
      <c r="T929" s="708"/>
      <c r="U929" s="708"/>
      <c r="V929" s="52"/>
    </row>
    <row r="930" spans="1:22" s="141" customFormat="1" ht="15.75" customHeight="1">
      <c r="A930" s="82"/>
      <c r="B930" s="774" t="s">
        <v>1225</v>
      </c>
      <c r="C930" s="1111" t="s">
        <v>770</v>
      </c>
      <c r="D930" s="1111"/>
      <c r="E930" s="1111"/>
      <c r="F930" s="1111"/>
      <c r="G930" s="1111"/>
      <c r="H930" s="1111"/>
      <c r="I930" s="1111"/>
      <c r="J930" s="1111"/>
      <c r="K930" s="1111"/>
      <c r="L930" s="1111"/>
      <c r="M930" s="1111"/>
      <c r="N930" s="1111"/>
      <c r="O930" s="1111"/>
      <c r="P930" s="1111"/>
      <c r="Q930" s="1111"/>
      <c r="R930" s="1111"/>
      <c r="S930" s="1111"/>
      <c r="T930" s="1111"/>
      <c r="U930" s="1111"/>
      <c r="V930" s="52"/>
    </row>
    <row r="931" spans="1:22" s="141" customFormat="1" ht="60" customHeight="1">
      <c r="A931" s="82"/>
      <c r="C931" s="1091" t="str">
        <f>"Nilai aset tetap berupa alat kantor  per "&amp;'2.ISIAN DATA SKPD'!D8&amp;" dan  "&amp;'2.ISIAN DATA SKPD'!D12&amp;" adalah sebesar Rp. "&amp;FIXED(R935)&amp;" dan Rp. "&amp;FIXED(B935)&amp;" mengalami kenaikan sebesar Rp. "&amp;FIXED('4.NERACA'!K82)&amp;" atau sebesar "&amp;FIXED('4.NERACA'!J82)&amp;"% dari tahun "&amp;'2.ISIAN DATA SKPD'!D12&amp;"."</f>
        <v>Nilai aset tetap berupa alat kantor  per 31 Desember 2017 dan  2016 adalah sebesar Rp. 35,106,666.00 dan Rp. 20,751,666.00 mengalami kenaikan sebesar Rp. 14,355,000.00 atau sebesar 69.18% dari tahun 2016.</v>
      </c>
      <c r="D931" s="1091"/>
      <c r="E931" s="1091"/>
      <c r="F931" s="1091"/>
      <c r="G931" s="1091"/>
      <c r="H931" s="1091"/>
      <c r="I931" s="1091"/>
      <c r="J931" s="1091"/>
      <c r="K931" s="1091"/>
      <c r="L931" s="1091"/>
      <c r="M931" s="1091"/>
      <c r="N931" s="1091"/>
      <c r="O931" s="1091"/>
      <c r="P931" s="1091"/>
      <c r="Q931" s="1091"/>
      <c r="R931" s="1091"/>
      <c r="S931" s="1091"/>
      <c r="T931" s="1091"/>
      <c r="U931" s="1091"/>
      <c r="V931" s="52"/>
    </row>
    <row r="932" spans="1:22" s="141" customFormat="1" ht="15.75" customHeight="1">
      <c r="A932" s="82"/>
      <c r="B932" s="749"/>
      <c r="C932" s="1091" t="str">
        <f>"Dengan mutasi  selama tahun "&amp;'2.ISIAN DATA SKPD'!D11&amp;" sebagai berikut :"</f>
        <v>Dengan mutasi  selama tahun 2017 sebagai berikut :</v>
      </c>
      <c r="D932" s="1091"/>
      <c r="E932" s="1091"/>
      <c r="F932" s="1091"/>
      <c r="G932" s="1091"/>
      <c r="H932" s="1091"/>
      <c r="I932" s="1091"/>
      <c r="J932" s="1091"/>
      <c r="K932" s="1091"/>
      <c r="L932" s="1091"/>
      <c r="M932" s="1091"/>
      <c r="N932" s="1091"/>
      <c r="O932" s="1091"/>
      <c r="P932" s="1091"/>
      <c r="Q932" s="1091"/>
      <c r="R932" s="1091"/>
      <c r="S932" s="1091"/>
      <c r="T932" s="1091"/>
      <c r="U932" s="1091"/>
      <c r="V932" s="52"/>
    </row>
    <row r="933" spans="1:22" s="141" customFormat="1" ht="15.75" customHeight="1">
      <c r="A933" s="1156" t="s">
        <v>9</v>
      </c>
      <c r="B933" s="1077" t="s">
        <v>762</v>
      </c>
      <c r="C933" s="1077"/>
      <c r="D933" s="1077"/>
      <c r="E933" s="1077"/>
      <c r="F933" s="1151" t="s">
        <v>190</v>
      </c>
      <c r="G933" s="1151"/>
      <c r="H933" s="1151"/>
      <c r="I933" s="1151"/>
      <c r="J933" s="1151"/>
      <c r="K933" s="1151"/>
      <c r="L933" s="1151" t="s">
        <v>761</v>
      </c>
      <c r="M933" s="1151"/>
      <c r="N933" s="1151"/>
      <c r="O933" s="1151"/>
      <c r="P933" s="1151"/>
      <c r="Q933" s="1151"/>
      <c r="R933" s="1077" t="s">
        <v>763</v>
      </c>
      <c r="S933" s="1077"/>
      <c r="T933" s="1077"/>
      <c r="U933" s="1077"/>
      <c r="V933" s="52"/>
    </row>
    <row r="934" spans="1:32" s="141" customFormat="1" ht="15.75" customHeight="1">
      <c r="A934" s="1157"/>
      <c r="B934" s="1610">
        <f>B922</f>
        <v>2016</v>
      </c>
      <c r="C934" s="1611"/>
      <c r="D934" s="1611"/>
      <c r="E934" s="1612"/>
      <c r="F934" s="1164" t="s">
        <v>419</v>
      </c>
      <c r="G934" s="1165"/>
      <c r="H934" s="1166"/>
      <c r="I934" s="1164" t="s">
        <v>420</v>
      </c>
      <c r="J934" s="1165"/>
      <c r="K934" s="1166"/>
      <c r="L934" s="1164" t="s">
        <v>419</v>
      </c>
      <c r="M934" s="1165"/>
      <c r="N934" s="1166"/>
      <c r="O934" s="1492" t="s">
        <v>420</v>
      </c>
      <c r="P934" s="1493"/>
      <c r="Q934" s="1494"/>
      <c r="R934" s="1173">
        <f>R922</f>
        <v>2017</v>
      </c>
      <c r="S934" s="1174"/>
      <c r="T934" s="1174"/>
      <c r="U934" s="1175"/>
      <c r="V934" s="1087"/>
      <c r="W934" s="1075"/>
      <c r="X934" s="1076"/>
      <c r="Y934" s="1084" t="s">
        <v>1677</v>
      </c>
      <c r="Z934" s="1075"/>
      <c r="AA934" s="1075"/>
      <c r="AB934" s="1076"/>
      <c r="AC934" s="1747" t="s">
        <v>1676</v>
      </c>
      <c r="AD934" s="1748"/>
      <c r="AE934" s="1748"/>
      <c r="AF934" s="1748"/>
    </row>
    <row r="935" spans="1:32" s="141" customFormat="1" ht="18" customHeight="1">
      <c r="A935" s="824" t="str">
        <f>C930</f>
        <v>Alat  Kantor</v>
      </c>
      <c r="B935" s="1486">
        <f>'4.NERACA'!D82</f>
        <v>20751666</v>
      </c>
      <c r="C935" s="1487"/>
      <c r="D935" s="1487"/>
      <c r="E935" s="1488"/>
      <c r="F935" s="1486">
        <f>'4.NERACA'!E82</f>
        <v>0</v>
      </c>
      <c r="G935" s="1487"/>
      <c r="H935" s="1488"/>
      <c r="I935" s="1486">
        <f>'4.NERACA'!F82</f>
        <v>17354000</v>
      </c>
      <c r="J935" s="1487"/>
      <c r="K935" s="1488"/>
      <c r="L935" s="1489">
        <f>'4.NERACA'!G82</f>
        <v>31709000</v>
      </c>
      <c r="M935" s="1490"/>
      <c r="N935" s="1491"/>
      <c r="O935" s="1486">
        <f>'4.NERACA'!H82</f>
        <v>0</v>
      </c>
      <c r="P935" s="1487"/>
      <c r="Q935" s="1488"/>
      <c r="R935" s="1486">
        <f>B935+F935-I935+L935-O935</f>
        <v>35106666</v>
      </c>
      <c r="S935" s="1487"/>
      <c r="T935" s="1487"/>
      <c r="U935" s="1488"/>
      <c r="V935" s="1750"/>
      <c r="W935" s="1511"/>
      <c r="X935" s="1512"/>
      <c r="Y935" s="1751">
        <f>(R935-B935)/B935*100</f>
        <v>69.17516887559775</v>
      </c>
      <c r="Z935" s="1511"/>
      <c r="AA935" s="1511"/>
      <c r="AB935" s="1512"/>
      <c r="AC935" s="1752">
        <f>R935-B935</f>
        <v>14355000</v>
      </c>
      <c r="AD935" s="1753"/>
      <c r="AE935" s="1753"/>
      <c r="AF935" s="1754"/>
    </row>
    <row r="936" spans="1:32" s="141" customFormat="1" ht="15.75" customHeight="1">
      <c r="A936" s="81"/>
      <c r="B936" s="1452" t="s">
        <v>766</v>
      </c>
      <c r="C936" s="1452"/>
      <c r="D936" s="1452"/>
      <c r="E936" s="1452"/>
      <c r="F936" s="1452"/>
      <c r="G936" s="1452"/>
      <c r="H936" s="1452"/>
      <c r="I936" s="1452"/>
      <c r="J936" s="1452"/>
      <c r="K936" s="1452"/>
      <c r="L936" s="1452"/>
      <c r="M936" s="1452"/>
      <c r="N936" s="1452"/>
      <c r="O936" s="1452"/>
      <c r="P936" s="1452"/>
      <c r="Q936" s="1452"/>
      <c r="R936" s="1452"/>
      <c r="S936" s="1452"/>
      <c r="T936" s="1452"/>
      <c r="U936" s="1452"/>
      <c r="V936" s="1755"/>
      <c r="W936" s="1511"/>
      <c r="X936" s="1511"/>
      <c r="Y936" s="1756"/>
      <c r="Z936" s="1511"/>
      <c r="AA936" s="1511"/>
      <c r="AB936" s="1511"/>
      <c r="AC936" s="1756"/>
      <c r="AD936" s="1757"/>
      <c r="AE936" s="1757"/>
      <c r="AF936" s="1757"/>
    </row>
    <row r="937" spans="1:22" s="141" customFormat="1" ht="18" customHeight="1">
      <c r="A937" s="81"/>
      <c r="B937" s="629"/>
      <c r="C937" s="1337" t="s">
        <v>1562</v>
      </c>
      <c r="D937" s="1337"/>
      <c r="E937" s="1337"/>
      <c r="F937" s="1337"/>
      <c r="G937" s="1337"/>
      <c r="H937" s="1337"/>
      <c r="I937" s="1337"/>
      <c r="J937" s="1337"/>
      <c r="K937" s="1337"/>
      <c r="L937" s="1337"/>
      <c r="M937" s="1337"/>
      <c r="N937" s="1337"/>
      <c r="O937" s="1337"/>
      <c r="P937" s="1337"/>
      <c r="Q937" s="1337"/>
      <c r="R937" s="1337"/>
      <c r="S937" s="1337"/>
      <c r="T937" s="1337"/>
      <c r="U937" s="1337"/>
      <c r="V937" s="52"/>
    </row>
    <row r="938" spans="1:22" s="141" customFormat="1" ht="105" customHeight="1">
      <c r="A938" s="81"/>
      <c r="B938" s="629"/>
      <c r="C938" s="1168" t="str">
        <f>"Mutasi Debet sebesar Rp. "&amp;FIXED(F935+L935)&amp;" adalah hasil pengadaan barang tahun "&amp;'2.ISIAN DATA SKPD'!D11&amp;" dari belanja modal berupa Belanja Modal Peralatan Mesin Pengadaan Alat Kantor Lainnya"</f>
        <v>Mutasi Debet sebesar Rp. 31,709,000.00 adalah hasil pengadaan barang tahun 2017 dari belanja modal berupa Belanja Modal Peralatan Mesin Pengadaan Alat Kantor Lainnya</v>
      </c>
      <c r="D938" s="1168"/>
      <c r="E938" s="1168"/>
      <c r="F938" s="1168"/>
      <c r="G938" s="1168"/>
      <c r="H938" s="1168"/>
      <c r="I938" s="1168"/>
      <c r="J938" s="1168"/>
      <c r="K938" s="1168"/>
      <c r="L938" s="1168"/>
      <c r="M938" s="1168"/>
      <c r="N938" s="1168"/>
      <c r="O938" s="1168"/>
      <c r="P938" s="1168"/>
      <c r="Q938" s="1168"/>
      <c r="R938" s="1168"/>
      <c r="S938" s="1168"/>
      <c r="T938" s="1168"/>
      <c r="U938" s="1168"/>
      <c r="V938" s="52"/>
    </row>
    <row r="939" spans="1:22" s="141" customFormat="1" ht="15.75" customHeight="1">
      <c r="A939" s="81"/>
      <c r="B939" s="629"/>
      <c r="C939" s="1337" t="s">
        <v>1563</v>
      </c>
      <c r="D939" s="1337"/>
      <c r="E939" s="1337"/>
      <c r="F939" s="1337"/>
      <c r="G939" s="1337"/>
      <c r="H939" s="1337"/>
      <c r="I939" s="1337"/>
      <c r="J939" s="1337"/>
      <c r="K939" s="1337"/>
      <c r="L939" s="1337"/>
      <c r="M939" s="1337"/>
      <c r="N939" s="1337"/>
      <c r="O939" s="1337"/>
      <c r="P939" s="1337"/>
      <c r="Q939" s="1337"/>
      <c r="R939" s="1337"/>
      <c r="S939" s="1337"/>
      <c r="T939" s="1337"/>
      <c r="U939" s="1337"/>
      <c r="V939" s="52"/>
    </row>
    <row r="940" spans="1:22" s="141" customFormat="1" ht="47.25" customHeight="1">
      <c r="A940" s="81"/>
      <c r="B940" s="629"/>
      <c r="C940" s="1168" t="str">
        <f>"Mutasi Kredit Rp. "&amp;FIXED(I935+O935)&amp;" adalah penghapusan berupa .Reklas Belanja Modal Peralatan dan Mesin Pengadaan Alat Kantor Lainnya Ke bangunan tempat kerja ( Peningkatan Ruang Pelayanan )"</f>
        <v>Mutasi Kredit Rp. 17,354,000.00 adalah penghapusan berupa .Reklas Belanja Modal Peralatan dan Mesin Pengadaan Alat Kantor Lainnya Ke bangunan tempat kerja ( Peningkatan Ruang Pelayanan )</v>
      </c>
      <c r="D940" s="1168"/>
      <c r="E940" s="1168"/>
      <c r="F940" s="1168"/>
      <c r="G940" s="1168"/>
      <c r="H940" s="1168"/>
      <c r="I940" s="1168"/>
      <c r="J940" s="1168"/>
      <c r="K940" s="1168"/>
      <c r="L940" s="1168"/>
      <c r="M940" s="1168"/>
      <c r="N940" s="1168"/>
      <c r="O940" s="1168"/>
      <c r="P940" s="1168"/>
      <c r="Q940" s="1168"/>
      <c r="R940" s="1168"/>
      <c r="S940" s="1168"/>
      <c r="T940" s="1168"/>
      <c r="U940" s="1168"/>
      <c r="V940" s="52"/>
    </row>
    <row r="941" spans="1:22" s="141" customFormat="1" ht="4.5" customHeight="1">
      <c r="A941" s="666"/>
      <c r="V941" s="52"/>
    </row>
    <row r="942" spans="1:22" s="141" customFormat="1" ht="18" customHeight="1">
      <c r="A942" s="82"/>
      <c r="B942" s="774" t="s">
        <v>1409</v>
      </c>
      <c r="C942" s="1111" t="s">
        <v>771</v>
      </c>
      <c r="D942" s="1111"/>
      <c r="E942" s="1111"/>
      <c r="F942" s="1111"/>
      <c r="G942" s="1111"/>
      <c r="H942" s="1111"/>
      <c r="I942" s="1111"/>
      <c r="J942" s="1111"/>
      <c r="K942" s="1111"/>
      <c r="L942" s="1111"/>
      <c r="M942" s="1111"/>
      <c r="N942" s="1111"/>
      <c r="O942" s="1111"/>
      <c r="P942" s="1111"/>
      <c r="Q942" s="1111"/>
      <c r="R942" s="1111"/>
      <c r="S942" s="1111"/>
      <c r="T942" s="1111"/>
      <c r="U942" s="1111"/>
      <c r="V942" s="52"/>
    </row>
    <row r="943" spans="1:22" s="141" customFormat="1" ht="62.25" customHeight="1">
      <c r="A943" s="82"/>
      <c r="C943" s="1091" t="str">
        <f>"Nilai aset tetap berupa alat rumah tangga  per "&amp;'2.ISIAN DATA SKPD'!D8&amp;" dan  "&amp;'2.ISIAN DATA SKPD'!D12&amp;" adalah sebesar Rp. "&amp;FIXED(R947)&amp;" dan Rp. "&amp;FIXED(B947)&amp;" mengalami kenaikan sebesar Rp. "&amp;FIXED(AC947)&amp;" atau sebesar "&amp;FIXED(Y947)&amp;"%  dari tahun "&amp;'2.ISIAN DATA SKPD'!D12&amp;"."</f>
        <v>Nilai aset tetap berupa alat rumah tangga  per 31 Desember 2017 dan  2016 adalah sebesar Rp. 283,987,400.00 dan Rp. 222,679,400.00 mengalami kenaikan sebesar Rp. 61,308,000.00 atau sebesar 27.53%  dari tahun 2016.</v>
      </c>
      <c r="D943" s="1091"/>
      <c r="E943" s="1091"/>
      <c r="F943" s="1091"/>
      <c r="G943" s="1091"/>
      <c r="H943" s="1091"/>
      <c r="I943" s="1091"/>
      <c r="J943" s="1091"/>
      <c r="K943" s="1091"/>
      <c r="L943" s="1091"/>
      <c r="M943" s="1091"/>
      <c r="N943" s="1091"/>
      <c r="O943" s="1091"/>
      <c r="P943" s="1091"/>
      <c r="Q943" s="1091"/>
      <c r="R943" s="1091"/>
      <c r="S943" s="1091"/>
      <c r="T943" s="1091"/>
      <c r="U943" s="1091"/>
      <c r="V943" s="52"/>
    </row>
    <row r="944" spans="1:22" s="141" customFormat="1" ht="16.5" customHeight="1">
      <c r="A944" s="82"/>
      <c r="B944" s="749"/>
      <c r="C944" s="1091" t="str">
        <f>"Dengan mutasi  selama tahun "&amp;'2.ISIAN DATA SKPD'!D71&amp;" sebagai berikut :"</f>
        <v>Dengan mutasi  selama tahun  sebagai berikut :</v>
      </c>
      <c r="D944" s="1091"/>
      <c r="E944" s="1091"/>
      <c r="F944" s="1091"/>
      <c r="G944" s="1091"/>
      <c r="H944" s="1091"/>
      <c r="I944" s="1091"/>
      <c r="J944" s="1091"/>
      <c r="K944" s="1091"/>
      <c r="L944" s="1091"/>
      <c r="M944" s="1091"/>
      <c r="N944" s="1091"/>
      <c r="O944" s="1091"/>
      <c r="P944" s="1091"/>
      <c r="Q944" s="1091"/>
      <c r="R944" s="1091"/>
      <c r="S944" s="1091"/>
      <c r="T944" s="1091"/>
      <c r="U944" s="1091"/>
      <c r="V944" s="52"/>
    </row>
    <row r="945" spans="1:22" s="141" customFormat="1" ht="15.75" customHeight="1">
      <c r="A945" s="1156" t="s">
        <v>9</v>
      </c>
      <c r="B945" s="1169" t="s">
        <v>762</v>
      </c>
      <c r="C945" s="1169"/>
      <c r="D945" s="1169"/>
      <c r="E945" s="1169"/>
      <c r="F945" s="1178" t="s">
        <v>190</v>
      </c>
      <c r="G945" s="1178"/>
      <c r="H945" s="1178"/>
      <c r="I945" s="1178"/>
      <c r="J945" s="1178"/>
      <c r="K945" s="1178"/>
      <c r="L945" s="1178" t="s">
        <v>761</v>
      </c>
      <c r="M945" s="1178"/>
      <c r="N945" s="1178"/>
      <c r="O945" s="1178"/>
      <c r="P945" s="1178"/>
      <c r="Q945" s="1178"/>
      <c r="R945" s="1169" t="s">
        <v>763</v>
      </c>
      <c r="S945" s="1169"/>
      <c r="T945" s="1169"/>
      <c r="U945" s="1169"/>
      <c r="V945" s="52"/>
    </row>
    <row r="946" spans="1:32" s="141" customFormat="1" ht="15.75" customHeight="1">
      <c r="A946" s="1157"/>
      <c r="B946" s="1466">
        <f>B934</f>
        <v>2016</v>
      </c>
      <c r="C946" s="1467"/>
      <c r="D946" s="1467"/>
      <c r="E946" s="1467"/>
      <c r="F946" s="1169" t="s">
        <v>419</v>
      </c>
      <c r="G946" s="1169"/>
      <c r="H946" s="1169"/>
      <c r="I946" s="1169" t="s">
        <v>420</v>
      </c>
      <c r="J946" s="1169"/>
      <c r="K946" s="1169"/>
      <c r="L946" s="1169" t="s">
        <v>419</v>
      </c>
      <c r="M946" s="1169"/>
      <c r="N946" s="1169"/>
      <c r="O946" s="1170" t="s">
        <v>420</v>
      </c>
      <c r="P946" s="1170"/>
      <c r="Q946" s="1170"/>
      <c r="R946" s="1173">
        <f>R934</f>
        <v>2017</v>
      </c>
      <c r="S946" s="1174"/>
      <c r="T946" s="1174"/>
      <c r="U946" s="1175"/>
      <c r="V946" s="1087"/>
      <c r="W946" s="1075"/>
      <c r="X946" s="1076"/>
      <c r="Y946" s="1084" t="s">
        <v>1677</v>
      </c>
      <c r="Z946" s="1075"/>
      <c r="AA946" s="1075"/>
      <c r="AB946" s="1076"/>
      <c r="AC946" s="1747" t="s">
        <v>1676</v>
      </c>
      <c r="AD946" s="1748"/>
      <c r="AE946" s="1748"/>
      <c r="AF946" s="1748"/>
    </row>
    <row r="947" spans="1:32" s="141" customFormat="1" ht="29.25" customHeight="1">
      <c r="A947" s="824" t="str">
        <f>C942</f>
        <v>Alat  Rumah Tangga</v>
      </c>
      <c r="B947" s="1486">
        <f>'4.NERACA'!D83</f>
        <v>222679400</v>
      </c>
      <c r="C947" s="1487"/>
      <c r="D947" s="1487"/>
      <c r="E947" s="1487"/>
      <c r="F947" s="1486">
        <f>'4.NERACA'!E83</f>
        <v>0</v>
      </c>
      <c r="G947" s="1487"/>
      <c r="H947" s="1488"/>
      <c r="I947" s="1486">
        <f>'4.NERACA'!F83</f>
        <v>0</v>
      </c>
      <c r="J947" s="1487"/>
      <c r="K947" s="1488"/>
      <c r="L947" s="1489">
        <f>'4.NERACA'!G83</f>
        <v>61308000</v>
      </c>
      <c r="M947" s="1490"/>
      <c r="N947" s="1491"/>
      <c r="O947" s="1486">
        <f>'4.NERACA'!H83</f>
        <v>0</v>
      </c>
      <c r="P947" s="1487"/>
      <c r="Q947" s="1488"/>
      <c r="R947" s="1486">
        <f>B947+F947-I947+L947-O947</f>
        <v>283987400</v>
      </c>
      <c r="S947" s="1487"/>
      <c r="T947" s="1487"/>
      <c r="U947" s="1488"/>
      <c r="V947" s="1750"/>
      <c r="W947" s="1511"/>
      <c r="X947" s="1512"/>
      <c r="Y947" s="1751">
        <f>(R947-B947)/B947*100</f>
        <v>27.5319585017743</v>
      </c>
      <c r="Z947" s="1511"/>
      <c r="AA947" s="1511"/>
      <c r="AB947" s="1512"/>
      <c r="AC947" s="1752">
        <f>R947-B947</f>
        <v>61308000</v>
      </c>
      <c r="AD947" s="1753"/>
      <c r="AE947" s="1753"/>
      <c r="AF947" s="1754"/>
    </row>
    <row r="948" spans="1:22" s="141" customFormat="1" ht="14.25" customHeight="1">
      <c r="A948" s="81"/>
      <c r="B948" s="1337" t="s">
        <v>766</v>
      </c>
      <c r="C948" s="1337"/>
      <c r="D948" s="1337"/>
      <c r="E948" s="1337"/>
      <c r="F948" s="1337"/>
      <c r="G948" s="1337"/>
      <c r="H948" s="1337"/>
      <c r="I948" s="1337"/>
      <c r="J948" s="1337"/>
      <c r="K948" s="1337"/>
      <c r="L948" s="1337"/>
      <c r="M948" s="1337"/>
      <c r="N948" s="1337"/>
      <c r="O948" s="1337"/>
      <c r="P948" s="1337"/>
      <c r="Q948" s="1337"/>
      <c r="R948" s="1337"/>
      <c r="S948" s="1337"/>
      <c r="T948" s="1337"/>
      <c r="U948" s="1337"/>
      <c r="V948" s="52"/>
    </row>
    <row r="949" spans="1:22" s="141" customFormat="1" ht="15" customHeight="1">
      <c r="A949" s="81"/>
      <c r="B949" s="629"/>
      <c r="C949" s="1337" t="s">
        <v>1562</v>
      </c>
      <c r="D949" s="1337"/>
      <c r="E949" s="1337"/>
      <c r="F949" s="1337"/>
      <c r="G949" s="1337"/>
      <c r="H949" s="1337"/>
      <c r="I949" s="1337"/>
      <c r="J949" s="1337"/>
      <c r="K949" s="1337"/>
      <c r="L949" s="1337"/>
      <c r="M949" s="1337"/>
      <c r="N949" s="1337"/>
      <c r="O949" s="1337"/>
      <c r="P949" s="1337"/>
      <c r="Q949" s="1337"/>
      <c r="R949" s="1337"/>
      <c r="S949" s="1337"/>
      <c r="T949" s="1337"/>
      <c r="U949" s="1337"/>
      <c r="V949" s="52"/>
    </row>
    <row r="950" spans="1:22" s="141" customFormat="1" ht="58.5" customHeight="1">
      <c r="A950" s="81"/>
      <c r="B950" s="629"/>
      <c r="C950" s="1168" t="str">
        <f>"Mutasi Debet sebesar Rp. "&amp;FIXED(F947+L947)&amp;" adalah hasil pengadaan barang tahun "&amp;'2.ISIAN DATA SKPD'!D11&amp;" dari belanja modal berupa Belanja Modal Peralatan dan Mesin - Pengadaan Meubelair dan Pengadaan Alat Rumah Tangga Lainnya"</f>
        <v>Mutasi Debet sebesar Rp. 61,308,000.00 adalah hasil pengadaan barang tahun 2017 dari belanja modal berupa Belanja Modal Peralatan dan Mesin - Pengadaan Meubelair dan Pengadaan Alat Rumah Tangga Lainnya</v>
      </c>
      <c r="D950" s="1168"/>
      <c r="E950" s="1168"/>
      <c r="F950" s="1168"/>
      <c r="G950" s="1168"/>
      <c r="H950" s="1168"/>
      <c r="I950" s="1168"/>
      <c r="J950" s="1168"/>
      <c r="K950" s="1168"/>
      <c r="L950" s="1168"/>
      <c r="M950" s="1168"/>
      <c r="N950" s="1168"/>
      <c r="O950" s="1168"/>
      <c r="P950" s="1168"/>
      <c r="Q950" s="1168"/>
      <c r="R950" s="1168"/>
      <c r="S950" s="1168"/>
      <c r="T950" s="1168"/>
      <c r="U950" s="1168"/>
      <c r="V950" s="52"/>
    </row>
    <row r="951" spans="1:22" s="141" customFormat="1" ht="15" customHeight="1">
      <c r="A951" s="81"/>
      <c r="B951" s="629"/>
      <c r="C951" s="1337" t="s">
        <v>1563</v>
      </c>
      <c r="D951" s="1337"/>
      <c r="E951" s="1337"/>
      <c r="F951" s="1337"/>
      <c r="G951" s="1337"/>
      <c r="H951" s="1337"/>
      <c r="I951" s="1337"/>
      <c r="J951" s="1337"/>
      <c r="K951" s="1337"/>
      <c r="L951" s="1337"/>
      <c r="M951" s="1337"/>
      <c r="N951" s="1337"/>
      <c r="O951" s="1337"/>
      <c r="P951" s="1337"/>
      <c r="Q951" s="1337"/>
      <c r="R951" s="1337"/>
      <c r="S951" s="1337"/>
      <c r="T951" s="1337"/>
      <c r="U951" s="1337"/>
      <c r="V951" s="52"/>
    </row>
    <row r="952" spans="1:22" s="141" customFormat="1" ht="17.25" customHeight="1">
      <c r="A952" s="81"/>
      <c r="B952" s="629"/>
      <c r="C952" s="1168" t="str">
        <f>"Mutasi Kredit Rp. "&amp;FIXED(I947+O947)&amp;" "</f>
        <v>Mutasi Kredit Rp. 0.00 </v>
      </c>
      <c r="D952" s="1168"/>
      <c r="E952" s="1168"/>
      <c r="F952" s="1168"/>
      <c r="G952" s="1168"/>
      <c r="H952" s="1168"/>
      <c r="I952" s="1168"/>
      <c r="J952" s="1168"/>
      <c r="K952" s="1168"/>
      <c r="L952" s="1168"/>
      <c r="M952" s="1168"/>
      <c r="N952" s="1168"/>
      <c r="O952" s="1168"/>
      <c r="P952" s="1168"/>
      <c r="Q952" s="1168"/>
      <c r="R952" s="1168"/>
      <c r="S952" s="1168"/>
      <c r="T952" s="1168"/>
      <c r="U952" s="1168"/>
      <c r="V952" s="52"/>
    </row>
    <row r="953" spans="1:22" s="141" customFormat="1" ht="6.75" customHeight="1">
      <c r="A953" s="82"/>
      <c r="B953" s="61"/>
      <c r="C953" s="61"/>
      <c r="D953" s="61"/>
      <c r="E953" s="61"/>
      <c r="F953" s="61"/>
      <c r="G953" s="61"/>
      <c r="H953" s="61"/>
      <c r="I953" s="61"/>
      <c r="J953" s="61"/>
      <c r="K953" s="61"/>
      <c r="L953" s="61"/>
      <c r="M953" s="61"/>
      <c r="N953" s="61"/>
      <c r="O953" s="61"/>
      <c r="P953" s="61"/>
      <c r="Q953" s="629"/>
      <c r="R953" s="629"/>
      <c r="S953" s="629"/>
      <c r="T953" s="629"/>
      <c r="U953" s="629"/>
      <c r="V953" s="52"/>
    </row>
    <row r="954" spans="1:22" s="141" customFormat="1" ht="16.5" customHeight="1">
      <c r="A954" s="82"/>
      <c r="B954" s="774" t="s">
        <v>1410</v>
      </c>
      <c r="C954" s="1111" t="s">
        <v>559</v>
      </c>
      <c r="D954" s="1111"/>
      <c r="E954" s="1111"/>
      <c r="F954" s="1111"/>
      <c r="G954" s="1111"/>
      <c r="H954" s="1111"/>
      <c r="I954" s="1111"/>
      <c r="J954" s="1111"/>
      <c r="K954" s="1111"/>
      <c r="L954" s="1111"/>
      <c r="M954" s="1111"/>
      <c r="N954" s="1111"/>
      <c r="O954" s="1111"/>
      <c r="P954" s="1111"/>
      <c r="Q954" s="1111"/>
      <c r="R954" s="1111"/>
      <c r="S954" s="1111"/>
      <c r="T954" s="1111"/>
      <c r="U954" s="1111"/>
      <c r="V954" s="52"/>
    </row>
    <row r="955" spans="1:22" s="141" customFormat="1" ht="59.25" customHeight="1">
      <c r="A955" s="82"/>
      <c r="C955" s="1091" t="str">
        <f>"Nilai aset tetap berupa alat komputer  per "&amp;'2.ISIAN DATA SKPD'!D8&amp;" dan  "&amp;'2.ISIAN DATA SKPD'!D12&amp;" adalah sebesar Rp. "&amp;FIXED(R959)&amp;" dan Rp. "&amp;FIXED(B959)&amp;" mengalami kenaikan/penurunan sebesar Rp. "&amp;FIXED(AC959)&amp;" atau sebesar "&amp;FIXED(Y959)&amp;"% dari tahun "&amp;'2.ISIAN DATA SKPD'!D12&amp;"."</f>
        <v>Nilai aset tetap berupa alat komputer  per 31 Desember 2017 dan  2016 adalah sebesar Rp. 218,139,246.00 dan Rp. 143,467,259.00 mengalami kenaikan/penurunan sebesar Rp. 74,671,987.00 atau sebesar 52.05% dari tahun 2016.</v>
      </c>
      <c r="D955" s="1091"/>
      <c r="E955" s="1091"/>
      <c r="F955" s="1091"/>
      <c r="G955" s="1091"/>
      <c r="H955" s="1091"/>
      <c r="I955" s="1091"/>
      <c r="J955" s="1091"/>
      <c r="K955" s="1091"/>
      <c r="L955" s="1091"/>
      <c r="M955" s="1091"/>
      <c r="N955" s="1091"/>
      <c r="O955" s="1091"/>
      <c r="P955" s="1091"/>
      <c r="Q955" s="1091"/>
      <c r="R955" s="1091"/>
      <c r="S955" s="1091"/>
      <c r="T955" s="1091"/>
      <c r="U955" s="1091"/>
      <c r="V955" s="52"/>
    </row>
    <row r="956" spans="1:22" s="141" customFormat="1" ht="21" customHeight="1">
      <c r="A956" s="82"/>
      <c r="B956" s="702"/>
      <c r="C956" s="1091" t="str">
        <f>"Dengan mutasi  selama tahun "&amp;'2.ISIAN DATA SKPD'!D11&amp;" sebagai berikut :"</f>
        <v>Dengan mutasi  selama tahun 2017 sebagai berikut :</v>
      </c>
      <c r="D956" s="1091"/>
      <c r="E956" s="1091"/>
      <c r="F956" s="1091"/>
      <c r="G956" s="1091"/>
      <c r="H956" s="1091"/>
      <c r="I956" s="1091"/>
      <c r="J956" s="1091"/>
      <c r="K956" s="1091"/>
      <c r="L956" s="1091"/>
      <c r="M956" s="1091"/>
      <c r="N956" s="1091"/>
      <c r="O956" s="1091"/>
      <c r="P956" s="1091"/>
      <c r="Q956" s="1091"/>
      <c r="R956" s="1091"/>
      <c r="S956" s="1091"/>
      <c r="T956" s="1091"/>
      <c r="U956" s="1091"/>
      <c r="V956" s="52"/>
    </row>
    <row r="957" spans="1:22" s="141" customFormat="1" ht="15.75" customHeight="1">
      <c r="A957" s="1156" t="s">
        <v>9</v>
      </c>
      <c r="B957" s="1077" t="s">
        <v>762</v>
      </c>
      <c r="C957" s="1077"/>
      <c r="D957" s="1077"/>
      <c r="E957" s="1077"/>
      <c r="F957" s="1151" t="s">
        <v>190</v>
      </c>
      <c r="G957" s="1151"/>
      <c r="H957" s="1151"/>
      <c r="I957" s="1151"/>
      <c r="J957" s="1151"/>
      <c r="K957" s="1151"/>
      <c r="L957" s="1151" t="s">
        <v>761</v>
      </c>
      <c r="M957" s="1151"/>
      <c r="N957" s="1151"/>
      <c r="O957" s="1151"/>
      <c r="P957" s="1151"/>
      <c r="Q957" s="1151"/>
      <c r="R957" s="1077" t="s">
        <v>763</v>
      </c>
      <c r="S957" s="1077"/>
      <c r="T957" s="1077"/>
      <c r="U957" s="1077"/>
      <c r="V957" s="52"/>
    </row>
    <row r="958" spans="1:32" s="141" customFormat="1" ht="15.75" customHeight="1">
      <c r="A958" s="1157"/>
      <c r="B958" s="1631">
        <f>B946</f>
        <v>2016</v>
      </c>
      <c r="C958" s="1632"/>
      <c r="D958" s="1632"/>
      <c r="E958" s="1632"/>
      <c r="F958" s="1077" t="s">
        <v>419</v>
      </c>
      <c r="G958" s="1077"/>
      <c r="H958" s="1077"/>
      <c r="I958" s="1077" t="s">
        <v>420</v>
      </c>
      <c r="J958" s="1077"/>
      <c r="K958" s="1077"/>
      <c r="L958" s="1077" t="s">
        <v>419</v>
      </c>
      <c r="M958" s="1077"/>
      <c r="N958" s="1077"/>
      <c r="O958" s="1150" t="s">
        <v>420</v>
      </c>
      <c r="P958" s="1150"/>
      <c r="Q958" s="1150"/>
      <c r="R958" s="1173">
        <f>R946</f>
        <v>2017</v>
      </c>
      <c r="S958" s="1174"/>
      <c r="T958" s="1174"/>
      <c r="U958" s="1175"/>
      <c r="V958" s="1074"/>
      <c r="W958" s="1073"/>
      <c r="X958" s="1073"/>
      <c r="Y958" s="1045" t="s">
        <v>1677</v>
      </c>
      <c r="Z958" s="1073"/>
      <c r="AA958" s="1073"/>
      <c r="AB958" s="1073"/>
      <c r="AC958" s="1085" t="s">
        <v>1676</v>
      </c>
      <c r="AD958" s="1086"/>
      <c r="AE958" s="1086"/>
      <c r="AF958" s="1086"/>
    </row>
    <row r="959" spans="1:32" s="141" customFormat="1" ht="16.5" customHeight="1">
      <c r="A959" s="821" t="str">
        <f>C954</f>
        <v>Komputer</v>
      </c>
      <c r="B959" s="1481">
        <f>'4.NERACA'!D84</f>
        <v>143467259</v>
      </c>
      <c r="C959" s="1482"/>
      <c r="D959" s="1482"/>
      <c r="E959" s="1482"/>
      <c r="F959" s="1481">
        <f>'4.NERACA'!E84</f>
        <v>0</v>
      </c>
      <c r="G959" s="1482"/>
      <c r="H959" s="1483"/>
      <c r="I959" s="1481">
        <f>'4.NERACA'!F84</f>
        <v>6167173</v>
      </c>
      <c r="J959" s="1482"/>
      <c r="K959" s="1483"/>
      <c r="L959" s="1477">
        <f>'4.NERACA'!G84</f>
        <v>80839160</v>
      </c>
      <c r="M959" s="1478"/>
      <c r="N959" s="1479"/>
      <c r="O959" s="1481">
        <f>'4.NERACA'!H84</f>
        <v>0</v>
      </c>
      <c r="P959" s="1482"/>
      <c r="Q959" s="1483"/>
      <c r="R959" s="1481">
        <f>B959+F959-I959+L959-O959</f>
        <v>218139246</v>
      </c>
      <c r="S959" s="1482"/>
      <c r="T959" s="1482"/>
      <c r="U959" s="1482"/>
      <c r="V959" s="1072"/>
      <c r="W959" s="1073"/>
      <c r="X959" s="1073"/>
      <c r="Y959" s="1045">
        <f>(R959-B959)/B959*100</f>
        <v>52.04810318429517</v>
      </c>
      <c r="Z959" s="1073"/>
      <c r="AA959" s="1073"/>
      <c r="AB959" s="1073"/>
      <c r="AC959" s="1045">
        <f>R959-B959</f>
        <v>74671987</v>
      </c>
      <c r="AD959" s="1046"/>
      <c r="AE959" s="1046"/>
      <c r="AF959" s="1046"/>
    </row>
    <row r="960" spans="1:22" s="141" customFormat="1" ht="15.75" customHeight="1">
      <c r="A960" s="81"/>
      <c r="B960" s="1337" t="s">
        <v>766</v>
      </c>
      <c r="C960" s="1337"/>
      <c r="D960" s="1337"/>
      <c r="E960" s="1337"/>
      <c r="F960" s="1337"/>
      <c r="G960" s="1337"/>
      <c r="H960" s="1337"/>
      <c r="I960" s="1337"/>
      <c r="J960" s="1337"/>
      <c r="K960" s="1337"/>
      <c r="L960" s="1337"/>
      <c r="M960" s="1337"/>
      <c r="N960" s="1337"/>
      <c r="O960" s="1337"/>
      <c r="P960" s="1337"/>
      <c r="Q960" s="1337"/>
      <c r="R960" s="1337"/>
      <c r="S960" s="1337"/>
      <c r="T960" s="1337"/>
      <c r="U960" s="1337"/>
      <c r="V960" s="52"/>
    </row>
    <row r="961" spans="1:22" s="141" customFormat="1" ht="14.25" customHeight="1">
      <c r="A961" s="81"/>
      <c r="B961" s="629"/>
      <c r="C961" s="1337" t="s">
        <v>1562</v>
      </c>
      <c r="D961" s="1337"/>
      <c r="E961" s="1337"/>
      <c r="F961" s="1337"/>
      <c r="G961" s="1337"/>
      <c r="H961" s="1337"/>
      <c r="I961" s="1337"/>
      <c r="J961" s="1337"/>
      <c r="K961" s="1337"/>
      <c r="L961" s="1337"/>
      <c r="M961" s="1337"/>
      <c r="N961" s="1337"/>
      <c r="O961" s="1337"/>
      <c r="P961" s="1337"/>
      <c r="Q961" s="1337"/>
      <c r="R961" s="1337"/>
      <c r="S961" s="1337"/>
      <c r="T961" s="1337"/>
      <c r="U961" s="1337"/>
      <c r="V961" s="52"/>
    </row>
    <row r="962" spans="1:22" s="141" customFormat="1" ht="45" customHeight="1">
      <c r="A962" s="81"/>
      <c r="B962" s="629"/>
      <c r="C962" s="1337" t="str">
        <f>"Mutasi Debet sebesar Rp. "&amp;FIXED(F959+L959)&amp;" adalah hasil pengadaan barang tahun "&amp;'2.ISIAN DATA SKPD'!D11&amp;" dari belanja modal berupa Belanja Modal Peralatan dan Mesin  - Pengadaan Peralatan Mini Komputer"</f>
        <v>Mutasi Debet sebesar Rp. 80,839,160.00 adalah hasil pengadaan barang tahun 2017 dari belanja modal berupa Belanja Modal Peralatan dan Mesin  - Pengadaan Peralatan Mini Komputer</v>
      </c>
      <c r="D962" s="1337"/>
      <c r="E962" s="1337"/>
      <c r="F962" s="1337"/>
      <c r="G962" s="1337"/>
      <c r="H962" s="1337"/>
      <c r="I962" s="1337"/>
      <c r="J962" s="1337"/>
      <c r="K962" s="1337"/>
      <c r="L962" s="1337"/>
      <c r="M962" s="1337"/>
      <c r="N962" s="1337"/>
      <c r="O962" s="1337"/>
      <c r="P962" s="1337"/>
      <c r="Q962" s="1337"/>
      <c r="R962" s="1337"/>
      <c r="S962" s="1337"/>
      <c r="T962" s="1337"/>
      <c r="U962" s="1337"/>
      <c r="V962" s="52"/>
    </row>
    <row r="963" spans="1:22" s="141" customFormat="1" ht="13.5" customHeight="1">
      <c r="A963" s="81"/>
      <c r="B963" s="629"/>
      <c r="C963" s="1337" t="s">
        <v>1563</v>
      </c>
      <c r="D963" s="1337"/>
      <c r="E963" s="1337"/>
      <c r="F963" s="1337"/>
      <c r="G963" s="1337"/>
      <c r="H963" s="1337"/>
      <c r="I963" s="1337"/>
      <c r="J963" s="1337"/>
      <c r="K963" s="1337"/>
      <c r="L963" s="1337"/>
      <c r="M963" s="1337"/>
      <c r="N963" s="1337"/>
      <c r="O963" s="1337"/>
      <c r="P963" s="1337"/>
      <c r="Q963" s="1337"/>
      <c r="R963" s="1337"/>
      <c r="S963" s="1337"/>
      <c r="T963" s="1337"/>
      <c r="U963" s="1337"/>
      <c r="V963" s="52"/>
    </row>
    <row r="964" spans="1:22" s="141" customFormat="1" ht="46.5" customHeight="1">
      <c r="A964" s="81"/>
      <c r="B964" s="629"/>
      <c r="C964" s="1337" t="str">
        <f>"Mutasi Kredit Rp. "&amp;FIXED(I959+O959)&amp;" adalah penghapusan berupa Reklas Belanja Modal Peralatan dan Mesin Pengadaan Peralatan Mini Komputer ke alat studio  senilai Rp 6.167.173 ."</f>
        <v>Mutasi Kredit Rp. 6,167,173.00 adalah penghapusan berupa Reklas Belanja Modal Peralatan dan Mesin Pengadaan Peralatan Mini Komputer ke alat studio  senilai Rp 6.167.173 .</v>
      </c>
      <c r="D964" s="1337"/>
      <c r="E964" s="1337"/>
      <c r="F964" s="1337"/>
      <c r="G964" s="1337"/>
      <c r="H964" s="1337"/>
      <c r="I964" s="1337"/>
      <c r="J964" s="1337"/>
      <c r="K964" s="1337"/>
      <c r="L964" s="1337"/>
      <c r="M964" s="1337"/>
      <c r="N964" s="1337"/>
      <c r="O964" s="1337"/>
      <c r="P964" s="1337"/>
      <c r="Q964" s="1337"/>
      <c r="R964" s="1337"/>
      <c r="S964" s="1337"/>
      <c r="T964" s="1337"/>
      <c r="U964" s="1337"/>
      <c r="V964" s="52"/>
    </row>
    <row r="965" spans="1:22" s="141" customFormat="1" ht="6.75" customHeight="1">
      <c r="A965" s="82"/>
      <c r="B965" s="61"/>
      <c r="C965" s="61"/>
      <c r="D965" s="61"/>
      <c r="E965" s="61"/>
      <c r="F965" s="61"/>
      <c r="G965" s="61"/>
      <c r="H965" s="61"/>
      <c r="I965" s="61"/>
      <c r="J965" s="61"/>
      <c r="K965" s="61"/>
      <c r="L965" s="61"/>
      <c r="M965" s="61"/>
      <c r="N965" s="61"/>
      <c r="O965" s="61"/>
      <c r="P965" s="61"/>
      <c r="Q965" s="629"/>
      <c r="R965" s="629"/>
      <c r="S965" s="629"/>
      <c r="T965" s="629"/>
      <c r="U965" s="629"/>
      <c r="V965" s="52"/>
    </row>
    <row r="966" spans="1:22" s="141" customFormat="1" ht="15.75" customHeight="1">
      <c r="A966" s="82"/>
      <c r="B966" s="774" t="s">
        <v>1411</v>
      </c>
      <c r="C966" s="1111" t="str">
        <f>'4.NERACA'!C85</f>
        <v>Meja Dan Kursi Kerja/Rapat Pejabat</v>
      </c>
      <c r="D966" s="1111"/>
      <c r="E966" s="1111"/>
      <c r="F966" s="1111"/>
      <c r="G966" s="1111"/>
      <c r="H966" s="1111"/>
      <c r="I966" s="1111"/>
      <c r="J966" s="1111"/>
      <c r="K966" s="1111"/>
      <c r="L966" s="1111"/>
      <c r="M966" s="1111"/>
      <c r="N966" s="1111"/>
      <c r="O966" s="1111"/>
      <c r="P966" s="1111"/>
      <c r="Q966" s="1111"/>
      <c r="R966" s="1111"/>
      <c r="S966" s="1111"/>
      <c r="T966" s="1111"/>
      <c r="U966" s="1111"/>
      <c r="V966" s="52"/>
    </row>
    <row r="967" spans="1:22" s="141" customFormat="1" ht="63" customHeight="1">
      <c r="A967" s="82"/>
      <c r="C967" s="1091" t="str">
        <f>"Nilai aset tetap berupa meja dan kursi/rapat pejabat  per "&amp;'2.ISIAN DATA SKPD'!D8&amp;" dan  "&amp;'2.ISIAN DATA SKPD'!D12&amp;" adalah sebesar Rp. "&amp;FIXED(R972)&amp;" dan Rp. "&amp;FIXED(B972)&amp;" mengalami kenaikan/penurunan sebesar Rp. "&amp;FIXED(AC972)&amp;" atau sebesar "&amp;FIXED(Y972)&amp;"% dari tahun "&amp;'2.ISIAN DATA SKPD'!D12&amp;"."</f>
        <v>Nilai aset tetap berupa meja dan kursi/rapat pejabat  per 31 Desember 2017 dan  2016 adalah sebesar Rp. 29,413,000.00 dan Rp. 29,413,000.00 mengalami kenaikan/penurunan sebesar Rp. 0.00 atau sebesar 0.00% dari tahun 2016.</v>
      </c>
      <c r="D967" s="1091"/>
      <c r="E967" s="1091"/>
      <c r="F967" s="1091"/>
      <c r="G967" s="1091"/>
      <c r="H967" s="1091"/>
      <c r="I967" s="1091"/>
      <c r="J967" s="1091"/>
      <c r="K967" s="1091"/>
      <c r="L967" s="1091"/>
      <c r="M967" s="1091"/>
      <c r="N967" s="1091"/>
      <c r="O967" s="1091"/>
      <c r="P967" s="1091"/>
      <c r="Q967" s="1091"/>
      <c r="R967" s="1091"/>
      <c r="S967" s="1091"/>
      <c r="T967" s="1091"/>
      <c r="U967" s="1091"/>
      <c r="V967" s="52"/>
    </row>
    <row r="968" spans="1:22" s="141" customFormat="1" ht="43.5" customHeight="1">
      <c r="A968" s="82"/>
      <c r="B968" s="12"/>
      <c r="C968" s="1091" t="str">
        <f>"Dengan mutasi  selama tahun "&amp;'2.ISIAN DATA SKPD'!D11&amp;" sebagai berikut :"</f>
        <v>Dengan mutasi  selama tahun 2017 sebagai berikut :</v>
      </c>
      <c r="D968" s="1091"/>
      <c r="E968" s="1091"/>
      <c r="F968" s="1091"/>
      <c r="G968" s="1091"/>
      <c r="H968" s="1091"/>
      <c r="I968" s="1091"/>
      <c r="J968" s="1091"/>
      <c r="K968" s="1091"/>
      <c r="L968" s="1091"/>
      <c r="M968" s="1091"/>
      <c r="N968" s="1091"/>
      <c r="O968" s="1091"/>
      <c r="P968" s="1091"/>
      <c r="Q968" s="1091"/>
      <c r="R968" s="1091"/>
      <c r="S968" s="1091"/>
      <c r="T968" s="1091"/>
      <c r="U968" s="1091"/>
      <c r="V968" s="52"/>
    </row>
    <row r="969" spans="1:22" s="141" customFormat="1" ht="6.75" customHeight="1">
      <c r="A969" s="82"/>
      <c r="B969" s="12"/>
      <c r="C969" s="702"/>
      <c r="D969" s="702"/>
      <c r="E969" s="702"/>
      <c r="F969" s="702"/>
      <c r="G969" s="702"/>
      <c r="H969" s="702"/>
      <c r="I969" s="702"/>
      <c r="J969" s="702"/>
      <c r="K969" s="702"/>
      <c r="L969" s="702"/>
      <c r="M969" s="702"/>
      <c r="N969" s="702"/>
      <c r="O969" s="702"/>
      <c r="P969" s="702"/>
      <c r="Q969" s="702"/>
      <c r="R969" s="702"/>
      <c r="S969" s="702"/>
      <c r="T969" s="702"/>
      <c r="U969" s="702"/>
      <c r="V969" s="52"/>
    </row>
    <row r="970" spans="1:22" s="141" customFormat="1" ht="15.75" customHeight="1">
      <c r="A970" s="1156" t="s">
        <v>9</v>
      </c>
      <c r="B970" s="1169" t="s">
        <v>762</v>
      </c>
      <c r="C970" s="1169"/>
      <c r="D970" s="1169"/>
      <c r="E970" s="1169"/>
      <c r="F970" s="1178" t="s">
        <v>190</v>
      </c>
      <c r="G970" s="1178"/>
      <c r="H970" s="1178"/>
      <c r="I970" s="1178"/>
      <c r="J970" s="1178"/>
      <c r="K970" s="1178"/>
      <c r="L970" s="1178" t="s">
        <v>761</v>
      </c>
      <c r="M970" s="1178"/>
      <c r="N970" s="1178"/>
      <c r="O970" s="1178"/>
      <c r="P970" s="1178"/>
      <c r="Q970" s="1178"/>
      <c r="R970" s="1169" t="s">
        <v>763</v>
      </c>
      <c r="S970" s="1169"/>
      <c r="T970" s="1169"/>
      <c r="U970" s="1169"/>
      <c r="V970" s="52"/>
    </row>
    <row r="971" spans="1:32" s="141" customFormat="1" ht="15.75" customHeight="1">
      <c r="A971" s="1157"/>
      <c r="B971" s="1466">
        <f>B958</f>
        <v>2016</v>
      </c>
      <c r="C971" s="1467"/>
      <c r="D971" s="1467"/>
      <c r="E971" s="1467"/>
      <c r="F971" s="1169" t="s">
        <v>419</v>
      </c>
      <c r="G971" s="1169"/>
      <c r="H971" s="1169"/>
      <c r="I971" s="1169" t="s">
        <v>420</v>
      </c>
      <c r="J971" s="1169"/>
      <c r="K971" s="1169"/>
      <c r="L971" s="1169" t="s">
        <v>419</v>
      </c>
      <c r="M971" s="1169"/>
      <c r="N971" s="1169"/>
      <c r="O971" s="1170" t="s">
        <v>420</v>
      </c>
      <c r="P971" s="1170"/>
      <c r="Q971" s="1170"/>
      <c r="R971" s="1173">
        <f>R958</f>
        <v>2017</v>
      </c>
      <c r="S971" s="1174"/>
      <c r="T971" s="1174"/>
      <c r="U971" s="1175"/>
      <c r="V971" s="1074"/>
      <c r="W971" s="1073"/>
      <c r="X971" s="1073"/>
      <c r="Y971" s="1045" t="s">
        <v>1677</v>
      </c>
      <c r="Z971" s="1073"/>
      <c r="AA971" s="1073"/>
      <c r="AB971" s="1073"/>
      <c r="AC971" s="1085" t="s">
        <v>1676</v>
      </c>
      <c r="AD971" s="1086"/>
      <c r="AE971" s="1086"/>
      <c r="AF971" s="1086"/>
    </row>
    <row r="972" spans="1:32" s="141" customFormat="1" ht="42.75" customHeight="1">
      <c r="A972" s="824" t="str">
        <f>C966</f>
        <v>Meja Dan Kursi Kerja/Rapat Pejabat</v>
      </c>
      <c r="B972" s="1486">
        <f>'4.NERACA'!D85</f>
        <v>29413000</v>
      </c>
      <c r="C972" s="1487"/>
      <c r="D972" s="1487"/>
      <c r="E972" s="1487"/>
      <c r="F972" s="1486">
        <f>'4.NERACA'!E85</f>
        <v>0</v>
      </c>
      <c r="G972" s="1487"/>
      <c r="H972" s="1488"/>
      <c r="I972" s="1486">
        <f>'4.NERACA'!F85</f>
        <v>0</v>
      </c>
      <c r="J972" s="1487"/>
      <c r="K972" s="1488"/>
      <c r="L972" s="1486">
        <f>'4.NERACA'!G85</f>
        <v>0</v>
      </c>
      <c r="M972" s="1487"/>
      <c r="N972" s="1488"/>
      <c r="O972" s="1486">
        <f>'4.NERACA'!H85</f>
        <v>0</v>
      </c>
      <c r="P972" s="1487"/>
      <c r="Q972" s="1488"/>
      <c r="R972" s="1486">
        <f>B972+F972-I972+L972-O972</f>
        <v>29413000</v>
      </c>
      <c r="S972" s="1487"/>
      <c r="T972" s="1487"/>
      <c r="U972" s="1488"/>
      <c r="V972" s="1072"/>
      <c r="W972" s="1073"/>
      <c r="X972" s="1073"/>
      <c r="Y972" s="1045">
        <f>(R972-B972)/B972*100</f>
        <v>0</v>
      </c>
      <c r="Z972" s="1073"/>
      <c r="AA972" s="1073"/>
      <c r="AB972" s="1073"/>
      <c r="AC972" s="1045">
        <f>R972-B972</f>
        <v>0</v>
      </c>
      <c r="AD972" s="1046"/>
      <c r="AE972" s="1046"/>
      <c r="AF972" s="1046"/>
    </row>
    <row r="973" spans="1:22" s="141" customFormat="1" ht="15" customHeight="1">
      <c r="A973" s="81"/>
      <c r="B973" s="1337" t="s">
        <v>766</v>
      </c>
      <c r="C973" s="1337"/>
      <c r="D973" s="1337"/>
      <c r="E973" s="1337"/>
      <c r="F973" s="1337"/>
      <c r="G973" s="1337"/>
      <c r="H973" s="1337"/>
      <c r="I973" s="1337"/>
      <c r="J973" s="1337"/>
      <c r="K973" s="1337"/>
      <c r="L973" s="1337"/>
      <c r="M973" s="1337"/>
      <c r="N973" s="1337"/>
      <c r="O973" s="1337"/>
      <c r="P973" s="1337"/>
      <c r="Q973" s="1337"/>
      <c r="R973" s="1337"/>
      <c r="S973" s="1337"/>
      <c r="T973" s="1337"/>
      <c r="U973" s="1337"/>
      <c r="V973" s="52"/>
    </row>
    <row r="974" spans="1:22" s="141" customFormat="1" ht="16.5" customHeight="1">
      <c r="A974" s="81"/>
      <c r="B974" s="629"/>
      <c r="C974" s="1337" t="s">
        <v>1562</v>
      </c>
      <c r="D974" s="1337"/>
      <c r="E974" s="1337"/>
      <c r="F974" s="1337"/>
      <c r="G974" s="1337"/>
      <c r="H974" s="1337"/>
      <c r="I974" s="1337"/>
      <c r="J974" s="1337"/>
      <c r="K974" s="1337"/>
      <c r="L974" s="1337"/>
      <c r="M974" s="1337"/>
      <c r="N974" s="1337"/>
      <c r="O974" s="1337"/>
      <c r="P974" s="1337"/>
      <c r="Q974" s="1337"/>
      <c r="R974" s="1337"/>
      <c r="S974" s="1337"/>
      <c r="T974" s="1337"/>
      <c r="U974" s="1337"/>
      <c r="V974" s="52"/>
    </row>
    <row r="975" spans="1:22" s="141" customFormat="1" ht="14.25" customHeight="1">
      <c r="A975" s="81"/>
      <c r="B975" s="629"/>
      <c r="C975" s="1168" t="s">
        <v>1575</v>
      </c>
      <c r="D975" s="1168"/>
      <c r="E975" s="1168"/>
      <c r="F975" s="1168"/>
      <c r="G975" s="1168"/>
      <c r="H975" s="1168"/>
      <c r="I975" s="1168"/>
      <c r="J975" s="1168"/>
      <c r="K975" s="1168"/>
      <c r="L975" s="1168"/>
      <c r="M975" s="1168"/>
      <c r="N975" s="1168"/>
      <c r="O975" s="1168"/>
      <c r="P975" s="1168"/>
      <c r="Q975" s="1168"/>
      <c r="R975" s="1168"/>
      <c r="S975" s="1168"/>
      <c r="T975" s="1168"/>
      <c r="U975" s="1168"/>
      <c r="V975" s="52"/>
    </row>
    <row r="976" spans="1:22" s="141" customFormat="1" ht="15.75" customHeight="1">
      <c r="A976" s="81"/>
      <c r="B976" s="629"/>
      <c r="C976" s="1337" t="s">
        <v>1563</v>
      </c>
      <c r="D976" s="1337"/>
      <c r="E976" s="1337"/>
      <c r="F976" s="1337"/>
      <c r="G976" s="1337"/>
      <c r="H976" s="1337"/>
      <c r="I976" s="1337"/>
      <c r="J976" s="1337"/>
      <c r="K976" s="1337"/>
      <c r="L976" s="1337"/>
      <c r="M976" s="1337"/>
      <c r="N976" s="1337"/>
      <c r="O976" s="1337"/>
      <c r="P976" s="1337"/>
      <c r="Q976" s="1337"/>
      <c r="R976" s="1337"/>
      <c r="S976" s="1337"/>
      <c r="T976" s="1337"/>
      <c r="U976" s="1337"/>
      <c r="V976" s="52"/>
    </row>
    <row r="977" spans="1:22" s="141" customFormat="1" ht="15" customHeight="1">
      <c r="A977" s="81"/>
      <c r="B977" s="629"/>
      <c r="C977" s="1168" t="s">
        <v>1575</v>
      </c>
      <c r="D977" s="1168"/>
      <c r="E977" s="1168"/>
      <c r="F977" s="1168"/>
      <c r="G977" s="1168"/>
      <c r="H977" s="1168"/>
      <c r="I977" s="1168"/>
      <c r="J977" s="1168"/>
      <c r="K977" s="1168"/>
      <c r="L977" s="1168"/>
      <c r="M977" s="1168"/>
      <c r="N977" s="1168"/>
      <c r="O977" s="1168"/>
      <c r="P977" s="1168"/>
      <c r="Q977" s="1168"/>
      <c r="R977" s="1168"/>
      <c r="S977" s="1168"/>
      <c r="T977" s="1168"/>
      <c r="U977" s="1168"/>
      <c r="V977" s="707"/>
    </row>
    <row r="978" spans="1:22" s="141" customFormat="1" ht="4.5" customHeight="1">
      <c r="A978" s="82"/>
      <c r="B978" s="61"/>
      <c r="C978" s="61"/>
      <c r="D978" s="61"/>
      <c r="E978" s="61"/>
      <c r="F978" s="61"/>
      <c r="G978" s="61"/>
      <c r="H978" s="61"/>
      <c r="I978" s="61"/>
      <c r="J978" s="61"/>
      <c r="K978" s="61"/>
      <c r="L978" s="61"/>
      <c r="M978" s="61"/>
      <c r="N978" s="61"/>
      <c r="O978" s="61"/>
      <c r="P978" s="61"/>
      <c r="Q978" s="629"/>
      <c r="R978" s="629"/>
      <c r="S978" s="629"/>
      <c r="T978" s="629"/>
      <c r="U978" s="629"/>
      <c r="V978" s="52"/>
    </row>
    <row r="979" spans="1:22" s="141" customFormat="1" ht="15.75" customHeight="1">
      <c r="A979" s="82"/>
      <c r="B979" s="774" t="s">
        <v>1412</v>
      </c>
      <c r="C979" s="1111" t="str">
        <f>'4.NERACA'!C86</f>
        <v>Alat Studio</v>
      </c>
      <c r="D979" s="1111"/>
      <c r="E979" s="1111"/>
      <c r="F979" s="1111"/>
      <c r="G979" s="1111"/>
      <c r="H979" s="1111"/>
      <c r="I979" s="1111"/>
      <c r="J979" s="1111"/>
      <c r="K979" s="1111"/>
      <c r="L979" s="1111"/>
      <c r="M979" s="1111"/>
      <c r="N979" s="1111"/>
      <c r="O979" s="1111"/>
      <c r="P979" s="1111"/>
      <c r="Q979" s="1111"/>
      <c r="R979" s="1111"/>
      <c r="S979" s="1111"/>
      <c r="T979" s="1111"/>
      <c r="U979" s="1111"/>
      <c r="V979" s="52"/>
    </row>
    <row r="980" spans="1:22" s="141" customFormat="1" ht="60.75" customHeight="1">
      <c r="A980" s="82"/>
      <c r="C980" s="1091" t="str">
        <f>"Nilai aset tetap berupa alat studio  per "&amp;'2.ISIAN DATA SKPD'!D8&amp;" dan  "&amp;'2.ISIAN DATA SKPD'!D12&amp;" adalah sebesar Rp. "&amp;FIXED(R985)&amp;" dan Rp. "&amp;FIXED(B985)&amp;" mengalami kenaikan/penurunan sebesar Rp. "&amp;FIXED(AC985)&amp;" atau sebesar "&amp;FIXED(Y985)&amp;"% dari tahun "&amp;'2.ISIAN DATA SKPD'!D12&amp;"."</f>
        <v>Nilai aset tetap berupa alat studio  per 31 Desember 2017 dan  2016 adalah sebesar Rp. 44,684,064.00 dan Rp. 22,086,891.00 mengalami kenaikan/penurunan sebesar Rp. 22,597,173.00 atau sebesar 102.31% dari tahun 2016.</v>
      </c>
      <c r="D980" s="1091"/>
      <c r="E980" s="1091"/>
      <c r="F980" s="1091"/>
      <c r="G980" s="1091"/>
      <c r="H980" s="1091"/>
      <c r="I980" s="1091"/>
      <c r="J980" s="1091"/>
      <c r="K980" s="1091"/>
      <c r="L980" s="1091"/>
      <c r="M980" s="1091"/>
      <c r="N980" s="1091"/>
      <c r="O980" s="1091"/>
      <c r="P980" s="1091"/>
      <c r="Q980" s="1091"/>
      <c r="R980" s="1091"/>
      <c r="S980" s="1091"/>
      <c r="T980" s="1091"/>
      <c r="U980" s="1091"/>
      <c r="V980" s="52"/>
    </row>
    <row r="981" spans="1:22" s="141" customFormat="1" ht="18" customHeight="1">
      <c r="A981" s="82"/>
      <c r="B981" s="702"/>
      <c r="C981" s="1091" t="str">
        <f>"Dengan mutasi  selama tahun "&amp;'2.ISIAN DATA SKPD'!D11&amp;" sebagai berikut :"</f>
        <v>Dengan mutasi  selama tahun 2017 sebagai berikut :</v>
      </c>
      <c r="D981" s="1091"/>
      <c r="E981" s="1091"/>
      <c r="F981" s="1091"/>
      <c r="G981" s="1091"/>
      <c r="H981" s="1091"/>
      <c r="I981" s="1091"/>
      <c r="J981" s="1091"/>
      <c r="K981" s="1091"/>
      <c r="L981" s="1091"/>
      <c r="M981" s="1091"/>
      <c r="N981" s="1091"/>
      <c r="O981" s="1091"/>
      <c r="P981" s="1091"/>
      <c r="Q981" s="1091"/>
      <c r="R981" s="1091"/>
      <c r="S981" s="1091"/>
      <c r="T981" s="1091"/>
      <c r="U981" s="1091"/>
      <c r="V981" s="52"/>
    </row>
    <row r="982" spans="1:22" s="141" customFormat="1" ht="6" customHeight="1">
      <c r="A982" s="82"/>
      <c r="B982" s="702"/>
      <c r="C982" s="702"/>
      <c r="D982" s="702"/>
      <c r="E982" s="702"/>
      <c r="F982" s="702"/>
      <c r="G982" s="702"/>
      <c r="H982" s="702"/>
      <c r="I982" s="702"/>
      <c r="J982" s="702"/>
      <c r="K982" s="702"/>
      <c r="L982" s="702"/>
      <c r="M982" s="702"/>
      <c r="N982" s="702"/>
      <c r="O982" s="702"/>
      <c r="P982" s="702"/>
      <c r="Q982" s="702"/>
      <c r="R982" s="702"/>
      <c r="S982" s="702"/>
      <c r="T982" s="702"/>
      <c r="U982" s="702"/>
      <c r="V982" s="52"/>
    </row>
    <row r="983" spans="1:22" s="141" customFormat="1" ht="15.75" customHeight="1">
      <c r="A983" s="1156" t="s">
        <v>9</v>
      </c>
      <c r="B983" s="1169" t="s">
        <v>762</v>
      </c>
      <c r="C983" s="1169"/>
      <c r="D983" s="1169"/>
      <c r="E983" s="1169"/>
      <c r="F983" s="1178" t="s">
        <v>190</v>
      </c>
      <c r="G983" s="1178"/>
      <c r="H983" s="1178"/>
      <c r="I983" s="1178"/>
      <c r="J983" s="1178"/>
      <c r="K983" s="1178"/>
      <c r="L983" s="1178" t="s">
        <v>761</v>
      </c>
      <c r="M983" s="1178"/>
      <c r="N983" s="1178"/>
      <c r="O983" s="1178"/>
      <c r="P983" s="1178"/>
      <c r="Q983" s="1178"/>
      <c r="R983" s="1169" t="s">
        <v>763</v>
      </c>
      <c r="S983" s="1169"/>
      <c r="T983" s="1169"/>
      <c r="U983" s="1169"/>
      <c r="V983" s="52"/>
    </row>
    <row r="984" spans="1:32" s="141" customFormat="1" ht="15.75" customHeight="1">
      <c r="A984" s="1157"/>
      <c r="B984" s="1466">
        <f>B971</f>
        <v>2016</v>
      </c>
      <c r="C984" s="1467"/>
      <c r="D984" s="1467"/>
      <c r="E984" s="1467"/>
      <c r="F984" s="1169" t="s">
        <v>419</v>
      </c>
      <c r="G984" s="1169"/>
      <c r="H984" s="1169"/>
      <c r="I984" s="1169" t="s">
        <v>420</v>
      </c>
      <c r="J984" s="1169"/>
      <c r="K984" s="1169"/>
      <c r="L984" s="1169" t="s">
        <v>419</v>
      </c>
      <c r="M984" s="1169"/>
      <c r="N984" s="1169"/>
      <c r="O984" s="1170" t="s">
        <v>420</v>
      </c>
      <c r="P984" s="1170"/>
      <c r="Q984" s="1170"/>
      <c r="R984" s="1173">
        <f>R971</f>
        <v>2017</v>
      </c>
      <c r="S984" s="1174"/>
      <c r="T984" s="1174"/>
      <c r="U984" s="1175"/>
      <c r="V984" s="1074"/>
      <c r="W984" s="1073"/>
      <c r="X984" s="1073"/>
      <c r="Y984" s="1045" t="s">
        <v>1677</v>
      </c>
      <c r="Z984" s="1073"/>
      <c r="AA984" s="1073"/>
      <c r="AB984" s="1073"/>
      <c r="AC984" s="1085" t="s">
        <v>1676</v>
      </c>
      <c r="AD984" s="1086"/>
      <c r="AE984" s="1086"/>
      <c r="AF984" s="1086"/>
    </row>
    <row r="985" spans="1:32" s="141" customFormat="1" ht="15.75" customHeight="1">
      <c r="A985" s="824" t="str">
        <f>C979</f>
        <v>Alat Studio</v>
      </c>
      <c r="B985" s="1486">
        <f>'4.NERACA'!D86</f>
        <v>22086891</v>
      </c>
      <c r="C985" s="1487"/>
      <c r="D985" s="1487"/>
      <c r="E985" s="1487"/>
      <c r="F985" s="1486">
        <f>'4.NERACA'!E86</f>
        <v>6167173</v>
      </c>
      <c r="G985" s="1487"/>
      <c r="H985" s="1488"/>
      <c r="I985" s="1486">
        <f>'4.NERACA'!F86</f>
        <v>0</v>
      </c>
      <c r="J985" s="1487"/>
      <c r="K985" s="1488"/>
      <c r="L985" s="1489">
        <f>'4.NERACA'!G86</f>
        <v>16430000</v>
      </c>
      <c r="M985" s="1490"/>
      <c r="N985" s="1491"/>
      <c r="O985" s="1486">
        <f>'4.NERACA'!H86</f>
        <v>0</v>
      </c>
      <c r="P985" s="1487"/>
      <c r="Q985" s="1488"/>
      <c r="R985" s="1486">
        <f>B985+F985-I985+L985-O985</f>
        <v>44684064</v>
      </c>
      <c r="S985" s="1487"/>
      <c r="T985" s="1487"/>
      <c r="U985" s="1488"/>
      <c r="V985" s="1072"/>
      <c r="W985" s="1073"/>
      <c r="X985" s="1073"/>
      <c r="Y985" s="1045">
        <f>(R985-B985)/B985*100</f>
        <v>102.31033874346554</v>
      </c>
      <c r="Z985" s="1073"/>
      <c r="AA985" s="1073"/>
      <c r="AB985" s="1073"/>
      <c r="AC985" s="1045">
        <f>R985-B985</f>
        <v>22597173</v>
      </c>
      <c r="AD985" s="1046"/>
      <c r="AE985" s="1046"/>
      <c r="AF985" s="1046"/>
    </row>
    <row r="986" spans="1:22" s="141" customFormat="1" ht="16.5" customHeight="1">
      <c r="A986" s="81"/>
      <c r="B986" s="1337" t="s">
        <v>766</v>
      </c>
      <c r="C986" s="1337"/>
      <c r="D986" s="1337"/>
      <c r="E986" s="1337"/>
      <c r="F986" s="1337"/>
      <c r="G986" s="1337"/>
      <c r="H986" s="1337"/>
      <c r="I986" s="1337"/>
      <c r="J986" s="1337"/>
      <c r="K986" s="1337"/>
      <c r="L986" s="1337"/>
      <c r="M986" s="1337"/>
      <c r="N986" s="1337"/>
      <c r="O986" s="1337"/>
      <c r="P986" s="1337"/>
      <c r="Q986" s="1337"/>
      <c r="R986" s="1337"/>
      <c r="S986" s="1337"/>
      <c r="T986" s="1337"/>
      <c r="U986" s="1337"/>
      <c r="V986" s="52"/>
    </row>
    <row r="987" spans="1:22" s="141" customFormat="1" ht="15" customHeight="1">
      <c r="A987" s="81"/>
      <c r="B987" s="629"/>
      <c r="C987" s="1337" t="s">
        <v>1562</v>
      </c>
      <c r="D987" s="1337"/>
      <c r="E987" s="1337"/>
      <c r="F987" s="1337"/>
      <c r="G987" s="1337"/>
      <c r="H987" s="1337"/>
      <c r="I987" s="1337"/>
      <c r="J987" s="1337"/>
      <c r="K987" s="1337"/>
      <c r="L987" s="1337"/>
      <c r="M987" s="1337"/>
      <c r="N987" s="1337"/>
      <c r="O987" s="1337"/>
      <c r="P987" s="1337"/>
      <c r="Q987" s="1337"/>
      <c r="R987" s="1337"/>
      <c r="S987" s="1337"/>
      <c r="T987" s="1337"/>
      <c r="U987" s="1337"/>
      <c r="V987" s="52"/>
    </row>
    <row r="988" spans="1:22" s="141" customFormat="1" ht="31.5" customHeight="1">
      <c r="A988" s="81"/>
      <c r="B988" s="629"/>
      <c r="C988" s="1168" t="str">
        <f>"Mutasi Debet sebesar Rp. "&amp;FIXED(F985+L985)&amp;" adalah hasil pengadaan barang tahun "&amp;'2.ISIAN DATA SKPD'!D21&amp;" dari belanja modal berupa Peralatan Video Visual"</f>
        <v>Mutasi Debet sebesar Rp. 22,597,173.00 adalah hasil pengadaan barang tahun  dari belanja modal berupa Peralatan Video Visual</v>
      </c>
      <c r="D988" s="1168"/>
      <c r="E988" s="1168"/>
      <c r="F988" s="1168"/>
      <c r="G988" s="1168"/>
      <c r="H988" s="1168"/>
      <c r="I988" s="1168"/>
      <c r="J988" s="1168"/>
      <c r="K988" s="1168"/>
      <c r="L988" s="1168"/>
      <c r="M988" s="1168"/>
      <c r="N988" s="1168"/>
      <c r="O988" s="1168"/>
      <c r="P988" s="1168"/>
      <c r="Q988" s="1168"/>
      <c r="R988" s="1168"/>
      <c r="S988" s="1168"/>
      <c r="T988" s="1168"/>
      <c r="U988" s="1168"/>
      <c r="V988" s="52"/>
    </row>
    <row r="989" spans="1:22" s="141" customFormat="1" ht="18" customHeight="1">
      <c r="A989" s="81"/>
      <c r="B989" s="629"/>
      <c r="C989" s="1337" t="s">
        <v>1563</v>
      </c>
      <c r="D989" s="1337"/>
      <c r="E989" s="1337"/>
      <c r="F989" s="1337"/>
      <c r="G989" s="1337"/>
      <c r="H989" s="1337"/>
      <c r="I989" s="1337"/>
      <c r="J989" s="1337"/>
      <c r="K989" s="1337"/>
      <c r="L989" s="1337"/>
      <c r="M989" s="1337"/>
      <c r="N989" s="1337"/>
      <c r="O989" s="1337"/>
      <c r="P989" s="1337"/>
      <c r="Q989" s="1337"/>
      <c r="R989" s="1337"/>
      <c r="S989" s="1337"/>
      <c r="T989" s="1337"/>
      <c r="U989" s="1337"/>
      <c r="V989" s="52"/>
    </row>
    <row r="990" spans="1:22" s="141" customFormat="1" ht="21" customHeight="1">
      <c r="A990" s="81"/>
      <c r="B990" s="629"/>
      <c r="C990" s="1337" t="str">
        <f>"Mutasi Kredit Rp. "&amp;FIXED(I985+O985)&amp;" "</f>
        <v>Mutasi Kredit Rp. 0.00 </v>
      </c>
      <c r="D990" s="1337"/>
      <c r="E990" s="1337"/>
      <c r="F990" s="1337"/>
      <c r="G990" s="1337"/>
      <c r="H990" s="1337"/>
      <c r="I990" s="1337"/>
      <c r="J990" s="1337"/>
      <c r="K990" s="1337"/>
      <c r="L990" s="1337"/>
      <c r="M990" s="1337"/>
      <c r="N990" s="1337"/>
      <c r="O990" s="1337"/>
      <c r="P990" s="1337"/>
      <c r="Q990" s="1337"/>
      <c r="R990" s="1337"/>
      <c r="S990" s="1337"/>
      <c r="T990" s="1337"/>
      <c r="U990" s="1337"/>
      <c r="V990" s="52"/>
    </row>
    <row r="991" spans="1:22" s="141" customFormat="1" ht="6.75" customHeight="1">
      <c r="A991" s="82"/>
      <c r="B991" s="61"/>
      <c r="C991" s="61"/>
      <c r="D991" s="61"/>
      <c r="E991" s="61"/>
      <c r="F991" s="61"/>
      <c r="G991" s="61"/>
      <c r="H991" s="61"/>
      <c r="I991" s="61"/>
      <c r="J991" s="61"/>
      <c r="K991" s="61"/>
      <c r="L991" s="61"/>
      <c r="M991" s="61"/>
      <c r="N991" s="61"/>
      <c r="O991" s="61"/>
      <c r="P991" s="61"/>
      <c r="Q991" s="629"/>
      <c r="R991" s="629"/>
      <c r="S991" s="629"/>
      <c r="T991" s="629"/>
      <c r="U991" s="629"/>
      <c r="V991" s="52"/>
    </row>
    <row r="992" spans="1:22" s="141" customFormat="1" ht="15" customHeight="1">
      <c r="A992" s="82"/>
      <c r="B992" s="774" t="s">
        <v>1413</v>
      </c>
      <c r="C992" s="1111" t="str">
        <f>'4.NERACA'!C87</f>
        <v>Alat Komunilasi</v>
      </c>
      <c r="D992" s="1111"/>
      <c r="E992" s="1111"/>
      <c r="F992" s="1111"/>
      <c r="G992" s="1111"/>
      <c r="H992" s="1111"/>
      <c r="I992" s="1111"/>
      <c r="J992" s="1111"/>
      <c r="K992" s="1111"/>
      <c r="L992" s="1111"/>
      <c r="M992" s="1111"/>
      <c r="N992" s="1111"/>
      <c r="O992" s="1111"/>
      <c r="P992" s="1111"/>
      <c r="Q992" s="1111"/>
      <c r="R992" s="1111"/>
      <c r="S992" s="1111"/>
      <c r="T992" s="1111"/>
      <c r="U992" s="1111"/>
      <c r="V992" s="52"/>
    </row>
    <row r="993" spans="1:22" s="141" customFormat="1" ht="59.25" customHeight="1">
      <c r="A993" s="82"/>
      <c r="C993" s="1091" t="str">
        <f>"Nilai aset tetap berupa alat komunikasi  per "&amp;'2.ISIAN DATA SKPD'!D8&amp;" dan  "&amp;'2.ISIAN DATA SKPD'!D12&amp;" adalah sebesar Rp. "&amp;FIXED(R998)&amp;" dan Rp. "&amp;FIXED(B998)&amp;" mengalami kenaikan/penurunan sebesar Rp. "&amp;FIXED(AC998)&amp;" atau sebesar "&amp;FIXED(Y998)&amp;"% dari tahun "&amp;'2.ISIAN DATA SKPD'!D12&amp;"."</f>
        <v>Nilai aset tetap berupa alat komunikasi  per 31 Desember 2017 dan  2016 adalah sebesar Rp. 11,455,000.00 dan Rp. 11,455,000.00 mengalami kenaikan/penurunan sebesar Rp. 0.00 atau sebesar 0.00% dari tahun 2016.</v>
      </c>
      <c r="D993" s="1091"/>
      <c r="E993" s="1091"/>
      <c r="F993" s="1091"/>
      <c r="G993" s="1091"/>
      <c r="H993" s="1091"/>
      <c r="I993" s="1091"/>
      <c r="J993" s="1091"/>
      <c r="K993" s="1091"/>
      <c r="L993" s="1091"/>
      <c r="M993" s="1091"/>
      <c r="N993" s="1091"/>
      <c r="O993" s="1091"/>
      <c r="P993" s="1091"/>
      <c r="Q993" s="1091"/>
      <c r="R993" s="1091"/>
      <c r="S993" s="1091"/>
      <c r="T993" s="1091"/>
      <c r="U993" s="1091"/>
      <c r="V993" s="52"/>
    </row>
    <row r="994" spans="1:22" s="141" customFormat="1" ht="13.5" customHeight="1">
      <c r="A994" s="82"/>
      <c r="B994" s="702"/>
      <c r="C994" s="1091" t="str">
        <f>"Dengan mutasi  selama tahun "&amp;'2.ISIAN DATA SKPD'!D11&amp;" sebagai berikut :"</f>
        <v>Dengan mutasi  selama tahun 2017 sebagai berikut :</v>
      </c>
      <c r="D994" s="1091"/>
      <c r="E994" s="1091"/>
      <c r="F994" s="1091"/>
      <c r="G994" s="1091"/>
      <c r="H994" s="1091"/>
      <c r="I994" s="1091"/>
      <c r="J994" s="1091"/>
      <c r="K994" s="1091"/>
      <c r="L994" s="1091"/>
      <c r="M994" s="1091"/>
      <c r="N994" s="1091"/>
      <c r="O994" s="1091"/>
      <c r="P994" s="1091"/>
      <c r="Q994" s="1091"/>
      <c r="R994" s="1091"/>
      <c r="S994" s="1091"/>
      <c r="T994" s="1091"/>
      <c r="U994" s="1091"/>
      <c r="V994" s="52"/>
    </row>
    <row r="995" spans="1:22" s="141" customFormat="1" ht="5.25" customHeight="1">
      <c r="A995" s="82"/>
      <c r="B995" s="702"/>
      <c r="C995" s="702"/>
      <c r="D995" s="702"/>
      <c r="E995" s="702"/>
      <c r="F995" s="702"/>
      <c r="G995" s="702"/>
      <c r="H995" s="702"/>
      <c r="I995" s="702"/>
      <c r="J995" s="702"/>
      <c r="K995" s="702"/>
      <c r="L995" s="702"/>
      <c r="M995" s="702"/>
      <c r="N995" s="702"/>
      <c r="O995" s="702"/>
      <c r="P995" s="702"/>
      <c r="Q995" s="702"/>
      <c r="R995" s="702"/>
      <c r="S995" s="702"/>
      <c r="T995" s="702"/>
      <c r="U995" s="702"/>
      <c r="V995" s="52"/>
    </row>
    <row r="996" spans="1:22" s="141" customFormat="1" ht="15.75" customHeight="1">
      <c r="A996" s="1156" t="s">
        <v>9</v>
      </c>
      <c r="B996" s="1169" t="s">
        <v>762</v>
      </c>
      <c r="C996" s="1169"/>
      <c r="D996" s="1169"/>
      <c r="E996" s="1169"/>
      <c r="F996" s="1178" t="s">
        <v>190</v>
      </c>
      <c r="G996" s="1178"/>
      <c r="H996" s="1178"/>
      <c r="I996" s="1178"/>
      <c r="J996" s="1178"/>
      <c r="K996" s="1178"/>
      <c r="L996" s="1178" t="s">
        <v>761</v>
      </c>
      <c r="M996" s="1178"/>
      <c r="N996" s="1178"/>
      <c r="O996" s="1178"/>
      <c r="P996" s="1178"/>
      <c r="Q996" s="1178"/>
      <c r="R996" s="1169" t="s">
        <v>763</v>
      </c>
      <c r="S996" s="1169"/>
      <c r="T996" s="1169"/>
      <c r="U996" s="1169"/>
      <c r="V996" s="52"/>
    </row>
    <row r="997" spans="1:32" s="141" customFormat="1" ht="15.75" customHeight="1">
      <c r="A997" s="1157"/>
      <c r="B997" s="1466">
        <f>B984</f>
        <v>2016</v>
      </c>
      <c r="C997" s="1467"/>
      <c r="D997" s="1467"/>
      <c r="E997" s="1467"/>
      <c r="F997" s="1169" t="s">
        <v>419</v>
      </c>
      <c r="G997" s="1169"/>
      <c r="H997" s="1169"/>
      <c r="I997" s="1169" t="s">
        <v>420</v>
      </c>
      <c r="J997" s="1169"/>
      <c r="K997" s="1169"/>
      <c r="L997" s="1169" t="s">
        <v>419</v>
      </c>
      <c r="M997" s="1169"/>
      <c r="N997" s="1169"/>
      <c r="O997" s="1170" t="s">
        <v>420</v>
      </c>
      <c r="P997" s="1170"/>
      <c r="Q997" s="1170"/>
      <c r="R997" s="1685">
        <f>R984</f>
        <v>2017</v>
      </c>
      <c r="S997" s="1170"/>
      <c r="T997" s="1170"/>
      <c r="U997" s="1170"/>
      <c r="V997" s="1074"/>
      <c r="W997" s="1073"/>
      <c r="X997" s="1073"/>
      <c r="Y997" s="1045" t="s">
        <v>1677</v>
      </c>
      <c r="Z997" s="1073"/>
      <c r="AA997" s="1073"/>
      <c r="AB997" s="1073"/>
      <c r="AC997" s="1085" t="s">
        <v>1676</v>
      </c>
      <c r="AD997" s="1086"/>
      <c r="AE997" s="1086"/>
      <c r="AF997" s="1086"/>
    </row>
    <row r="998" spans="1:32" s="141" customFormat="1" ht="27.75" customHeight="1">
      <c r="A998" s="824" t="str">
        <f>C992</f>
        <v>Alat Komunilasi</v>
      </c>
      <c r="B998" s="1486">
        <f>'4.NERACA'!D87</f>
        <v>11455000</v>
      </c>
      <c r="C998" s="1487"/>
      <c r="D998" s="1487"/>
      <c r="E998" s="1487"/>
      <c r="F998" s="1486">
        <f>'4.NERACA'!E87</f>
        <v>0</v>
      </c>
      <c r="G998" s="1487"/>
      <c r="H998" s="1488"/>
      <c r="I998" s="1486">
        <f>'4.NERACA'!F87</f>
        <v>0</v>
      </c>
      <c r="J998" s="1487"/>
      <c r="K998" s="1488"/>
      <c r="L998" s="1486">
        <f>'4.NERACA'!G87</f>
        <v>0</v>
      </c>
      <c r="M998" s="1487"/>
      <c r="N998" s="1488"/>
      <c r="O998" s="1486">
        <f>'4.NERACA'!H87</f>
        <v>0</v>
      </c>
      <c r="P998" s="1487"/>
      <c r="Q998" s="1488"/>
      <c r="R998" s="1486">
        <f>B998+F998-I998+L998-O998</f>
        <v>11455000</v>
      </c>
      <c r="S998" s="1487"/>
      <c r="T998" s="1487"/>
      <c r="U998" s="1488"/>
      <c r="V998" s="1072"/>
      <c r="W998" s="1073"/>
      <c r="X998" s="1073"/>
      <c r="Y998" s="1045">
        <f>(R998-B998)/B998*100</f>
        <v>0</v>
      </c>
      <c r="Z998" s="1073"/>
      <c r="AA998" s="1073"/>
      <c r="AB998" s="1073"/>
      <c r="AC998" s="1045">
        <f>R998-B998</f>
        <v>0</v>
      </c>
      <c r="AD998" s="1046"/>
      <c r="AE998" s="1046"/>
      <c r="AF998" s="1046"/>
    </row>
    <row r="999" spans="1:22" s="141" customFormat="1" ht="15">
      <c r="A999" s="825"/>
      <c r="B999" s="1168" t="s">
        <v>766</v>
      </c>
      <c r="C999" s="1168"/>
      <c r="D999" s="1168"/>
      <c r="E999" s="1168"/>
      <c r="F999" s="1168"/>
      <c r="G999" s="1168"/>
      <c r="H999" s="1168"/>
      <c r="I999" s="1168"/>
      <c r="J999" s="1168"/>
      <c r="K999" s="1168"/>
      <c r="L999" s="1168"/>
      <c r="M999" s="1168"/>
      <c r="N999" s="1168"/>
      <c r="O999" s="1168"/>
      <c r="P999" s="1168"/>
      <c r="Q999" s="1168"/>
      <c r="R999" s="1168"/>
      <c r="S999" s="1168"/>
      <c r="T999" s="1168"/>
      <c r="U999" s="1168"/>
      <c r="V999" s="52"/>
    </row>
    <row r="1000" spans="1:22" s="141" customFormat="1" ht="13.5" customHeight="1">
      <c r="A1000" s="825"/>
      <c r="B1000" s="826"/>
      <c r="C1000" s="1168" t="s">
        <v>1562</v>
      </c>
      <c r="D1000" s="1168"/>
      <c r="E1000" s="1168"/>
      <c r="F1000" s="1168"/>
      <c r="G1000" s="1168"/>
      <c r="H1000" s="1168"/>
      <c r="I1000" s="1168"/>
      <c r="J1000" s="1168"/>
      <c r="K1000" s="1168"/>
      <c r="L1000" s="1168"/>
      <c r="M1000" s="1168"/>
      <c r="N1000" s="1168"/>
      <c r="O1000" s="1168"/>
      <c r="P1000" s="1168"/>
      <c r="Q1000" s="1168"/>
      <c r="R1000" s="1168"/>
      <c r="S1000" s="1168"/>
      <c r="T1000" s="1168"/>
      <c r="U1000" s="1168"/>
      <c r="V1000" s="52"/>
    </row>
    <row r="1001" spans="1:22" s="141" customFormat="1" ht="15" customHeight="1">
      <c r="A1001" s="825"/>
      <c r="B1001" s="826"/>
      <c r="C1001" s="1168" t="s">
        <v>1575</v>
      </c>
      <c r="D1001" s="1168"/>
      <c r="E1001" s="1168"/>
      <c r="F1001" s="1168"/>
      <c r="G1001" s="1168"/>
      <c r="H1001" s="1168"/>
      <c r="I1001" s="1168"/>
      <c r="J1001" s="1168"/>
      <c r="K1001" s="1168"/>
      <c r="L1001" s="1168"/>
      <c r="M1001" s="1168"/>
      <c r="N1001" s="1168"/>
      <c r="O1001" s="1168"/>
      <c r="P1001" s="1168"/>
      <c r="Q1001" s="1168"/>
      <c r="R1001" s="1168"/>
      <c r="S1001" s="1168"/>
      <c r="T1001" s="1168"/>
      <c r="U1001" s="1168"/>
      <c r="V1001" s="52"/>
    </row>
    <row r="1002" spans="1:22" s="141" customFormat="1" ht="15" customHeight="1">
      <c r="A1002" s="825"/>
      <c r="B1002" s="826"/>
      <c r="C1002" s="1168" t="s">
        <v>1563</v>
      </c>
      <c r="D1002" s="1168"/>
      <c r="E1002" s="1168"/>
      <c r="F1002" s="1168"/>
      <c r="G1002" s="1168"/>
      <c r="H1002" s="1168"/>
      <c r="I1002" s="1168"/>
      <c r="J1002" s="1168"/>
      <c r="K1002" s="1168"/>
      <c r="L1002" s="1168"/>
      <c r="M1002" s="1168"/>
      <c r="N1002" s="1168"/>
      <c r="O1002" s="1168"/>
      <c r="P1002" s="1168"/>
      <c r="Q1002" s="1168"/>
      <c r="R1002" s="1168"/>
      <c r="S1002" s="1168"/>
      <c r="T1002" s="1168"/>
      <c r="U1002" s="1168"/>
      <c r="V1002" s="52"/>
    </row>
    <row r="1003" spans="1:22" s="141" customFormat="1" ht="14.25" customHeight="1">
      <c r="A1003" s="825"/>
      <c r="B1003" s="826"/>
      <c r="C1003" s="1168" t="s">
        <v>1575</v>
      </c>
      <c r="D1003" s="1168"/>
      <c r="E1003" s="1168"/>
      <c r="F1003" s="1168"/>
      <c r="G1003" s="1168"/>
      <c r="H1003" s="1168"/>
      <c r="I1003" s="1168"/>
      <c r="J1003" s="1168"/>
      <c r="K1003" s="1168"/>
      <c r="L1003" s="1168"/>
      <c r="M1003" s="1168"/>
      <c r="N1003" s="1168"/>
      <c r="O1003" s="1168"/>
      <c r="P1003" s="1168"/>
      <c r="Q1003" s="1168"/>
      <c r="R1003" s="1168"/>
      <c r="S1003" s="1168"/>
      <c r="T1003" s="1168"/>
      <c r="U1003" s="1168"/>
      <c r="V1003" s="52"/>
    </row>
    <row r="1004" spans="1:22" s="141" customFormat="1" ht="7.5" customHeight="1">
      <c r="A1004" s="83"/>
      <c r="B1004" s="12"/>
      <c r="C1004" s="12"/>
      <c r="D1004" s="12"/>
      <c r="E1004" s="12"/>
      <c r="F1004" s="12"/>
      <c r="G1004" s="12"/>
      <c r="H1004" s="12"/>
      <c r="I1004" s="12"/>
      <c r="J1004" s="12"/>
      <c r="K1004" s="12"/>
      <c r="L1004" s="12"/>
      <c r="M1004" s="12"/>
      <c r="N1004" s="13"/>
      <c r="O1004" s="13"/>
      <c r="P1004" s="13"/>
      <c r="Q1004" s="13"/>
      <c r="R1004" s="13"/>
      <c r="S1004" s="13"/>
      <c r="T1004" s="13"/>
      <c r="U1004" s="13"/>
      <c r="V1004" s="52"/>
    </row>
    <row r="1005" spans="1:22" s="141" customFormat="1" ht="17.25" customHeight="1">
      <c r="A1005" s="82"/>
      <c r="B1005" s="774" t="s">
        <v>1414</v>
      </c>
      <c r="C1005" s="1111" t="str">
        <f>'4.NERACA'!C88</f>
        <v>Peralatan Pemancar</v>
      </c>
      <c r="D1005" s="1111"/>
      <c r="E1005" s="1111"/>
      <c r="F1005" s="1111"/>
      <c r="G1005" s="1111"/>
      <c r="H1005" s="1111"/>
      <c r="I1005" s="1111"/>
      <c r="J1005" s="1111"/>
      <c r="K1005" s="1111"/>
      <c r="L1005" s="1111"/>
      <c r="M1005" s="1111"/>
      <c r="N1005" s="1111"/>
      <c r="O1005" s="1111"/>
      <c r="P1005" s="1111"/>
      <c r="Q1005" s="1111"/>
      <c r="R1005" s="1111"/>
      <c r="S1005" s="1111"/>
      <c r="T1005" s="1111"/>
      <c r="U1005" s="1111"/>
      <c r="V1005" s="52"/>
    </row>
    <row r="1006" spans="1:22" s="141" customFormat="1" ht="17.25" customHeight="1">
      <c r="A1006" s="82"/>
      <c r="C1006" s="1091" t="s">
        <v>1575</v>
      </c>
      <c r="D1006" s="1091"/>
      <c r="E1006" s="1091"/>
      <c r="F1006" s="1091"/>
      <c r="G1006" s="1091"/>
      <c r="H1006" s="1091"/>
      <c r="I1006" s="1091"/>
      <c r="J1006" s="1091"/>
      <c r="K1006" s="1091"/>
      <c r="L1006" s="1091"/>
      <c r="M1006" s="1091"/>
      <c r="N1006" s="1091"/>
      <c r="O1006" s="1091"/>
      <c r="P1006" s="1091"/>
      <c r="Q1006" s="1091"/>
      <c r="R1006" s="1091"/>
      <c r="S1006" s="1091"/>
      <c r="T1006" s="1091"/>
      <c r="U1006" s="1091"/>
      <c r="V1006" s="52"/>
    </row>
    <row r="1007" spans="1:22" s="141" customFormat="1" ht="5.25" customHeight="1">
      <c r="A1007" s="83"/>
      <c r="B1007" s="12"/>
      <c r="C1007" s="12"/>
      <c r="D1007" s="12"/>
      <c r="E1007" s="12"/>
      <c r="F1007" s="12"/>
      <c r="G1007" s="12"/>
      <c r="H1007" s="12"/>
      <c r="I1007" s="12"/>
      <c r="J1007" s="12"/>
      <c r="K1007" s="12"/>
      <c r="L1007" s="12"/>
      <c r="M1007" s="12"/>
      <c r="N1007" s="13"/>
      <c r="O1007" s="13"/>
      <c r="P1007" s="13"/>
      <c r="Q1007" s="13"/>
      <c r="R1007" s="13"/>
      <c r="S1007" s="13"/>
      <c r="T1007" s="13"/>
      <c r="U1007" s="13"/>
      <c r="V1007" s="52"/>
    </row>
    <row r="1008" spans="1:22" s="141" customFormat="1" ht="15.75" customHeight="1">
      <c r="A1008" s="82"/>
      <c r="B1008" s="774" t="s">
        <v>1415</v>
      </c>
      <c r="C1008" s="1111" t="str">
        <f>'4.NERACA'!C89</f>
        <v>Alat Kedokteran</v>
      </c>
      <c r="D1008" s="1111"/>
      <c r="E1008" s="1111"/>
      <c r="F1008" s="1111"/>
      <c r="G1008" s="1111"/>
      <c r="H1008" s="1111"/>
      <c r="I1008" s="1111"/>
      <c r="J1008" s="1111"/>
      <c r="K1008" s="1111"/>
      <c r="L1008" s="1111"/>
      <c r="M1008" s="1111"/>
      <c r="N1008" s="1111"/>
      <c r="O1008" s="1111"/>
      <c r="P1008" s="1111"/>
      <c r="Q1008" s="1111"/>
      <c r="R1008" s="1111"/>
      <c r="S1008" s="1111"/>
      <c r="T1008" s="1111"/>
      <c r="U1008" s="1111"/>
      <c r="V1008" s="52"/>
    </row>
    <row r="1009" spans="1:22" s="141" customFormat="1" ht="18.75" customHeight="1">
      <c r="A1009" s="82"/>
      <c r="C1009" s="1091" t="s">
        <v>1575</v>
      </c>
      <c r="D1009" s="1091"/>
      <c r="E1009" s="1091"/>
      <c r="F1009" s="1091"/>
      <c r="G1009" s="1091"/>
      <c r="H1009" s="1091"/>
      <c r="I1009" s="1091"/>
      <c r="J1009" s="1091"/>
      <c r="K1009" s="1091"/>
      <c r="L1009" s="1091"/>
      <c r="M1009" s="1091"/>
      <c r="N1009" s="1091"/>
      <c r="O1009" s="1091"/>
      <c r="P1009" s="1091"/>
      <c r="Q1009" s="1091"/>
      <c r="R1009" s="1091"/>
      <c r="S1009" s="1091"/>
      <c r="T1009" s="1091"/>
      <c r="U1009" s="1091"/>
      <c r="V1009" s="52"/>
    </row>
    <row r="1010" spans="1:22" s="141" customFormat="1" ht="16.5" customHeight="1">
      <c r="A1010" s="82"/>
      <c r="B1010" s="774" t="s">
        <v>1416</v>
      </c>
      <c r="C1010" s="1111" t="str">
        <f>'4.NERACA'!C90</f>
        <v>Alat Kesehatan</v>
      </c>
      <c r="D1010" s="1111"/>
      <c r="E1010" s="1111"/>
      <c r="F1010" s="1111"/>
      <c r="G1010" s="1111"/>
      <c r="H1010" s="1111"/>
      <c r="I1010" s="1111"/>
      <c r="J1010" s="1111"/>
      <c r="K1010" s="1111"/>
      <c r="L1010" s="1111"/>
      <c r="M1010" s="1111"/>
      <c r="N1010" s="1111"/>
      <c r="O1010" s="1111"/>
      <c r="P1010" s="1111"/>
      <c r="Q1010" s="1111"/>
      <c r="R1010" s="1111"/>
      <c r="S1010" s="1111"/>
      <c r="T1010" s="1111"/>
      <c r="U1010" s="1111"/>
      <c r="V1010" s="52"/>
    </row>
    <row r="1011" spans="1:22" s="141" customFormat="1" ht="16.5" customHeight="1">
      <c r="A1011" s="82"/>
      <c r="C1011" s="1091" t="s">
        <v>1575</v>
      </c>
      <c r="D1011" s="1091"/>
      <c r="E1011" s="1091"/>
      <c r="F1011" s="1091"/>
      <c r="G1011" s="1091"/>
      <c r="H1011" s="1091"/>
      <c r="I1011" s="1091"/>
      <c r="J1011" s="1091"/>
      <c r="K1011" s="1091"/>
      <c r="L1011" s="1091"/>
      <c r="M1011" s="1091"/>
      <c r="N1011" s="1091"/>
      <c r="O1011" s="1091"/>
      <c r="P1011" s="1091"/>
      <c r="Q1011" s="1091"/>
      <c r="R1011" s="1091"/>
      <c r="S1011" s="1091"/>
      <c r="T1011" s="1091"/>
      <c r="U1011" s="1091"/>
      <c r="V1011" s="52"/>
    </row>
    <row r="1012" spans="1:22" s="141" customFormat="1" ht="13.5" customHeight="1">
      <c r="A1012" s="82"/>
      <c r="B1012" s="774" t="s">
        <v>1417</v>
      </c>
      <c r="C1012" s="1111" t="str">
        <f>'4.NERACA'!C91</f>
        <v>Unit-Unit Laboratorium</v>
      </c>
      <c r="D1012" s="1111"/>
      <c r="E1012" s="1111"/>
      <c r="F1012" s="1111"/>
      <c r="G1012" s="1111"/>
      <c r="H1012" s="1111"/>
      <c r="I1012" s="1111"/>
      <c r="J1012" s="1111"/>
      <c r="K1012" s="1111"/>
      <c r="L1012" s="1111"/>
      <c r="M1012" s="1111"/>
      <c r="N1012" s="1111"/>
      <c r="O1012" s="1111"/>
      <c r="P1012" s="1111"/>
      <c r="Q1012" s="1111"/>
      <c r="R1012" s="1111"/>
      <c r="S1012" s="1111"/>
      <c r="T1012" s="1111"/>
      <c r="U1012" s="1111"/>
      <c r="V1012" s="52"/>
    </row>
    <row r="1013" spans="1:22" s="141" customFormat="1" ht="16.5" customHeight="1">
      <c r="A1013" s="82"/>
      <c r="C1013" s="1091" t="s">
        <v>1575</v>
      </c>
      <c r="D1013" s="1091"/>
      <c r="E1013" s="1091"/>
      <c r="F1013" s="1091"/>
      <c r="G1013" s="1091"/>
      <c r="H1013" s="1091"/>
      <c r="I1013" s="1091"/>
      <c r="J1013" s="1091"/>
      <c r="K1013" s="1091"/>
      <c r="L1013" s="1091"/>
      <c r="M1013" s="1091"/>
      <c r="N1013" s="1091"/>
      <c r="O1013" s="1091"/>
      <c r="P1013" s="1091"/>
      <c r="Q1013" s="1091"/>
      <c r="R1013" s="1091"/>
      <c r="S1013" s="1091"/>
      <c r="T1013" s="1091"/>
      <c r="U1013" s="1091"/>
      <c r="V1013" s="52"/>
    </row>
    <row r="1014" spans="1:22" s="141" customFormat="1" ht="15.75" customHeight="1">
      <c r="A1014" s="82"/>
      <c r="B1014" s="774" t="s">
        <v>1418</v>
      </c>
      <c r="C1014" s="1111" t="str">
        <f>'4.NERACA'!C92</f>
        <v>Alat Peraga/Praktek Sekolah</v>
      </c>
      <c r="D1014" s="1111"/>
      <c r="E1014" s="1111"/>
      <c r="F1014" s="1111"/>
      <c r="G1014" s="1111"/>
      <c r="H1014" s="1111"/>
      <c r="I1014" s="1111"/>
      <c r="J1014" s="1111"/>
      <c r="K1014" s="1111"/>
      <c r="L1014" s="1111"/>
      <c r="M1014" s="1111"/>
      <c r="N1014" s="1111"/>
      <c r="O1014" s="1111"/>
      <c r="P1014" s="1111"/>
      <c r="Q1014" s="1111"/>
      <c r="R1014" s="1111"/>
      <c r="S1014" s="1111"/>
      <c r="T1014" s="1111"/>
      <c r="U1014" s="1111"/>
      <c r="V1014" s="52"/>
    </row>
    <row r="1015" spans="1:22" s="141" customFormat="1" ht="17.25" customHeight="1">
      <c r="A1015" s="82"/>
      <c r="C1015" s="1091" t="s">
        <v>1575</v>
      </c>
      <c r="D1015" s="1091"/>
      <c r="E1015" s="1091"/>
      <c r="F1015" s="1091"/>
      <c r="G1015" s="1091"/>
      <c r="H1015" s="1091"/>
      <c r="I1015" s="1091"/>
      <c r="J1015" s="1091"/>
      <c r="K1015" s="1091"/>
      <c r="L1015" s="1091"/>
      <c r="M1015" s="1091"/>
      <c r="N1015" s="1091"/>
      <c r="O1015" s="1091"/>
      <c r="P1015" s="1091"/>
      <c r="Q1015" s="1091"/>
      <c r="R1015" s="1091"/>
      <c r="S1015" s="1091"/>
      <c r="T1015" s="1091"/>
      <c r="U1015" s="1091"/>
      <c r="V1015" s="52"/>
    </row>
    <row r="1016" spans="1:22" s="141" customFormat="1" ht="15.75" customHeight="1">
      <c r="A1016" s="82"/>
      <c r="B1016" s="774" t="s">
        <v>1419</v>
      </c>
      <c r="C1016" s="1111" t="str">
        <f>'4.NERACA'!C94</f>
        <v>Alat Laboratorium Fisila Nuklir / Elektronila</v>
      </c>
      <c r="D1016" s="1111"/>
      <c r="E1016" s="1111"/>
      <c r="F1016" s="1111"/>
      <c r="G1016" s="1111"/>
      <c r="H1016" s="1111"/>
      <c r="I1016" s="1111"/>
      <c r="J1016" s="1111"/>
      <c r="K1016" s="1111"/>
      <c r="L1016" s="1111"/>
      <c r="M1016" s="1111"/>
      <c r="N1016" s="1111"/>
      <c r="O1016" s="1111"/>
      <c r="P1016" s="1111"/>
      <c r="Q1016" s="1111"/>
      <c r="R1016" s="1111"/>
      <c r="S1016" s="1111"/>
      <c r="T1016" s="1111"/>
      <c r="U1016" s="1111"/>
      <c r="V1016" s="52"/>
    </row>
    <row r="1017" spans="1:22" s="141" customFormat="1" ht="18.75" customHeight="1">
      <c r="A1017" s="82"/>
      <c r="C1017" s="1091" t="s">
        <v>1575</v>
      </c>
      <c r="D1017" s="1091"/>
      <c r="E1017" s="1091"/>
      <c r="F1017" s="1091"/>
      <c r="G1017" s="1091"/>
      <c r="H1017" s="1091"/>
      <c r="I1017" s="1091"/>
      <c r="J1017" s="1091"/>
      <c r="K1017" s="1091"/>
      <c r="L1017" s="1091"/>
      <c r="M1017" s="1091"/>
      <c r="N1017" s="1091"/>
      <c r="O1017" s="1091"/>
      <c r="P1017" s="1091"/>
      <c r="Q1017" s="1091"/>
      <c r="R1017" s="1091"/>
      <c r="S1017" s="1091"/>
      <c r="T1017" s="1091"/>
      <c r="U1017" s="1091"/>
      <c r="V1017" s="52"/>
    </row>
    <row r="1018" spans="1:22" s="141" customFormat="1" ht="15">
      <c r="A1018" s="82"/>
      <c r="B1018" s="774" t="s">
        <v>1564</v>
      </c>
      <c r="C1018" s="1111" t="str">
        <f>'4.NERACA'!C95</f>
        <v>Alat Proteksi Radiasi / Proteksi Lingkungan</v>
      </c>
      <c r="D1018" s="1111"/>
      <c r="E1018" s="1111"/>
      <c r="F1018" s="1111"/>
      <c r="G1018" s="1111"/>
      <c r="H1018" s="1111"/>
      <c r="I1018" s="1111"/>
      <c r="J1018" s="1111"/>
      <c r="K1018" s="1111"/>
      <c r="L1018" s="1111"/>
      <c r="M1018" s="1111"/>
      <c r="N1018" s="1111"/>
      <c r="O1018" s="1111"/>
      <c r="P1018" s="1111"/>
      <c r="Q1018" s="1111"/>
      <c r="R1018" s="1111"/>
      <c r="S1018" s="1111"/>
      <c r="T1018" s="1111"/>
      <c r="U1018" s="1111"/>
      <c r="V1018" s="52"/>
    </row>
    <row r="1019" spans="1:22" s="141" customFormat="1" ht="18" customHeight="1">
      <c r="A1019" s="82"/>
      <c r="C1019" s="1168" t="s">
        <v>1575</v>
      </c>
      <c r="D1019" s="1168"/>
      <c r="E1019" s="1168"/>
      <c r="F1019" s="1168"/>
      <c r="G1019" s="1168"/>
      <c r="H1019" s="1168"/>
      <c r="I1019" s="1168"/>
      <c r="J1019" s="1168"/>
      <c r="K1019" s="1168"/>
      <c r="L1019" s="1168"/>
      <c r="M1019" s="1168"/>
      <c r="N1019" s="1168"/>
      <c r="O1019" s="1168"/>
      <c r="P1019" s="1168"/>
      <c r="Q1019" s="1168"/>
      <c r="R1019" s="1168"/>
      <c r="S1019" s="1168"/>
      <c r="T1019" s="1168"/>
      <c r="U1019" s="1168"/>
      <c r="V1019" s="52"/>
    </row>
    <row r="1020" spans="1:22" s="141" customFormat="1" ht="15" customHeight="1">
      <c r="A1020" s="82"/>
      <c r="B1020" s="774" t="s">
        <v>1565</v>
      </c>
      <c r="C1020" s="1111" t="str">
        <f>'4.NERACA'!C97</f>
        <v>Alat Laboratorium Lingkungan Hidup</v>
      </c>
      <c r="D1020" s="1111"/>
      <c r="E1020" s="1111"/>
      <c r="F1020" s="1111"/>
      <c r="G1020" s="1111"/>
      <c r="H1020" s="1111"/>
      <c r="I1020" s="1111"/>
      <c r="J1020" s="1111"/>
      <c r="K1020" s="1111"/>
      <c r="L1020" s="1111"/>
      <c r="M1020" s="1111"/>
      <c r="N1020" s="1111"/>
      <c r="O1020" s="1111"/>
      <c r="P1020" s="1111"/>
      <c r="Q1020" s="1111"/>
      <c r="R1020" s="1111"/>
      <c r="S1020" s="1111"/>
      <c r="T1020" s="1111"/>
      <c r="U1020" s="1111"/>
      <c r="V1020" s="52"/>
    </row>
    <row r="1021" spans="1:22" s="141" customFormat="1" ht="15.75" customHeight="1">
      <c r="A1021" s="82"/>
      <c r="C1021" s="1168" t="s">
        <v>1575</v>
      </c>
      <c r="D1021" s="1168"/>
      <c r="E1021" s="1168"/>
      <c r="F1021" s="1168"/>
      <c r="G1021" s="1168"/>
      <c r="H1021" s="1168"/>
      <c r="I1021" s="1168"/>
      <c r="J1021" s="1168"/>
      <c r="K1021" s="1168"/>
      <c r="L1021" s="1168"/>
      <c r="M1021" s="1168"/>
      <c r="N1021" s="1168"/>
      <c r="O1021" s="1168"/>
      <c r="P1021" s="1168"/>
      <c r="Q1021" s="1168"/>
      <c r="R1021" s="1168"/>
      <c r="S1021" s="1168"/>
      <c r="T1021" s="1168"/>
      <c r="U1021" s="1168"/>
      <c r="V1021" s="52"/>
    </row>
    <row r="1022" spans="1:22" s="141" customFormat="1" ht="15.75" customHeight="1">
      <c r="A1022" s="82"/>
      <c r="B1022" s="775" t="s">
        <v>1566</v>
      </c>
      <c r="C1022" s="1111" t="str">
        <f>'4.NERACA'!C98</f>
        <v>Alat Keamanan dan Perlindungan</v>
      </c>
      <c r="D1022" s="1111"/>
      <c r="E1022" s="1111"/>
      <c r="F1022" s="1111"/>
      <c r="G1022" s="1111"/>
      <c r="H1022" s="1111"/>
      <c r="I1022" s="1111"/>
      <c r="J1022" s="1111"/>
      <c r="K1022" s="1111"/>
      <c r="L1022" s="1111"/>
      <c r="M1022" s="1111"/>
      <c r="N1022" s="1111"/>
      <c r="O1022" s="1111"/>
      <c r="P1022" s="1111"/>
      <c r="Q1022" s="1111"/>
      <c r="R1022" s="1111"/>
      <c r="S1022" s="1111"/>
      <c r="T1022" s="1111"/>
      <c r="U1022" s="1111"/>
      <c r="V1022" s="52"/>
    </row>
    <row r="1023" spans="1:22" s="141" customFormat="1" ht="13.5" customHeight="1">
      <c r="A1023" s="82"/>
      <c r="C1023" s="1091" t="s">
        <v>1575</v>
      </c>
      <c r="D1023" s="1091"/>
      <c r="E1023" s="1091"/>
      <c r="F1023" s="1091"/>
      <c r="G1023" s="1091"/>
      <c r="H1023" s="1091"/>
      <c r="I1023" s="1091"/>
      <c r="J1023" s="1091"/>
      <c r="K1023" s="1091"/>
      <c r="L1023" s="1091"/>
      <c r="M1023" s="1091"/>
      <c r="N1023" s="1091"/>
      <c r="O1023" s="1091"/>
      <c r="P1023" s="1091"/>
      <c r="Q1023" s="1091"/>
      <c r="R1023" s="1091"/>
      <c r="S1023" s="1091"/>
      <c r="T1023" s="1091"/>
      <c r="U1023" s="1091"/>
      <c r="V1023" s="52"/>
    </row>
    <row r="1024" spans="1:22" s="141" customFormat="1" ht="32.25" customHeight="1">
      <c r="A1024" s="81"/>
      <c r="B1024" s="1469" t="str">
        <f>"Rincian saldo Peralatan dan Mesin per "&amp;'2.ISIAN DATA SKPD'!D8&amp;" adalah sebagai berikut:"</f>
        <v>Rincian saldo Peralatan dan Mesin per 31 Desember 2017 adalah sebagai berikut:</v>
      </c>
      <c r="C1024" s="1469"/>
      <c r="D1024" s="1469"/>
      <c r="E1024" s="1469"/>
      <c r="F1024" s="1469"/>
      <c r="G1024" s="1469"/>
      <c r="H1024" s="1469"/>
      <c r="I1024" s="1469"/>
      <c r="J1024" s="1469"/>
      <c r="K1024" s="1469"/>
      <c r="L1024" s="1469"/>
      <c r="M1024" s="1469"/>
      <c r="N1024" s="1469"/>
      <c r="O1024" s="1469"/>
      <c r="P1024" s="1469"/>
      <c r="Q1024" s="1469"/>
      <c r="R1024" s="1469"/>
      <c r="S1024" s="1469"/>
      <c r="T1024" s="1469"/>
      <c r="U1024" s="1469"/>
      <c r="V1024" s="52"/>
    </row>
    <row r="1025" spans="1:22" s="141" customFormat="1" ht="6" customHeight="1">
      <c r="A1025" s="81"/>
      <c r="B1025" s="776"/>
      <c r="C1025" s="776"/>
      <c r="D1025" s="776"/>
      <c r="E1025" s="776"/>
      <c r="F1025" s="776"/>
      <c r="G1025" s="776"/>
      <c r="H1025" s="776"/>
      <c r="I1025" s="776"/>
      <c r="J1025" s="776"/>
      <c r="K1025" s="776"/>
      <c r="L1025" s="776"/>
      <c r="M1025" s="776"/>
      <c r="N1025" s="776"/>
      <c r="O1025" s="776"/>
      <c r="P1025" s="776"/>
      <c r="Q1025" s="776"/>
      <c r="R1025" s="776"/>
      <c r="S1025" s="776"/>
      <c r="T1025" s="776"/>
      <c r="U1025" s="776"/>
      <c r="V1025" s="52"/>
    </row>
    <row r="1026" spans="1:22" s="141" customFormat="1" ht="18.75" customHeight="1">
      <c r="A1026" s="81"/>
      <c r="B1026" s="1448" t="s">
        <v>126</v>
      </c>
      <c r="C1026" s="1450"/>
      <c r="D1026" s="1448" t="s">
        <v>28</v>
      </c>
      <c r="E1026" s="1449"/>
      <c r="F1026" s="1449"/>
      <c r="G1026" s="1449"/>
      <c r="H1026" s="1449"/>
      <c r="I1026" s="1449"/>
      <c r="J1026" s="1743"/>
      <c r="K1026" s="1743"/>
      <c r="L1026" s="1743"/>
      <c r="M1026" s="1743"/>
      <c r="N1026" s="1743"/>
      <c r="O1026" s="1743"/>
      <c r="P1026" s="1744"/>
      <c r="Q1026" s="1448" t="s">
        <v>135</v>
      </c>
      <c r="R1026" s="1449"/>
      <c r="S1026" s="1449"/>
      <c r="T1026" s="1449"/>
      <c r="U1026" s="1450"/>
      <c r="V1026" s="52"/>
    </row>
    <row r="1027" spans="1:22" s="141" customFormat="1" ht="18.75" customHeight="1">
      <c r="A1027" s="81"/>
      <c r="B1027" s="1171">
        <v>1</v>
      </c>
      <c r="C1027" s="1172"/>
      <c r="D1027" s="1179" t="str">
        <f>'4.NERACA'!C77</f>
        <v>Alat-Alat Besar Darat</v>
      </c>
      <c r="E1027" s="1180"/>
      <c r="F1027" s="1180"/>
      <c r="G1027" s="1180"/>
      <c r="H1027" s="1180"/>
      <c r="I1027" s="1180"/>
      <c r="J1027" s="1181"/>
      <c r="K1027" s="1181"/>
      <c r="L1027" s="1181"/>
      <c r="M1027" s="1181"/>
      <c r="N1027" s="1181"/>
      <c r="O1027" s="1181"/>
      <c r="P1027" s="1182"/>
      <c r="Q1027" s="1158">
        <f>'4.NERACA'!I77</f>
        <v>0</v>
      </c>
      <c r="R1027" s="1159"/>
      <c r="S1027" s="1159"/>
      <c r="T1027" s="1159"/>
      <c r="U1027" s="1160"/>
      <c r="V1027" s="52"/>
    </row>
    <row r="1028" spans="1:22" s="141" customFormat="1" ht="18.75" customHeight="1">
      <c r="A1028" s="81"/>
      <c r="B1028" s="1171">
        <f>B1027+1</f>
        <v>2</v>
      </c>
      <c r="C1028" s="1172"/>
      <c r="D1028" s="1179" t="str">
        <f>'4.NERACA'!C78</f>
        <v>Alat-alat Bantu</v>
      </c>
      <c r="E1028" s="1180"/>
      <c r="F1028" s="1180"/>
      <c r="G1028" s="1180"/>
      <c r="H1028" s="1180"/>
      <c r="I1028" s="1180"/>
      <c r="J1028" s="1181"/>
      <c r="K1028" s="1181"/>
      <c r="L1028" s="1181"/>
      <c r="M1028" s="1181"/>
      <c r="N1028" s="1181"/>
      <c r="O1028" s="1181"/>
      <c r="P1028" s="1182"/>
      <c r="Q1028" s="1158">
        <f>'4.NERACA'!I78</f>
        <v>10285000</v>
      </c>
      <c r="R1028" s="1159"/>
      <c r="S1028" s="1159"/>
      <c r="T1028" s="1159"/>
      <c r="U1028" s="1160"/>
      <c r="V1028" s="52"/>
    </row>
    <row r="1029" spans="1:22" s="141" customFormat="1" ht="18.75" customHeight="1">
      <c r="A1029" s="81"/>
      <c r="B1029" s="1171">
        <f aca="true" t="shared" si="28" ref="B1029:B1048">B1028+1</f>
        <v>3</v>
      </c>
      <c r="C1029" s="1172"/>
      <c r="D1029" s="1179" t="str">
        <f>'4.NERACA'!C79</f>
        <v>Alat Angkutan Darat Bermotor</v>
      </c>
      <c r="E1029" s="1180"/>
      <c r="F1029" s="1180"/>
      <c r="G1029" s="1180"/>
      <c r="H1029" s="1180"/>
      <c r="I1029" s="1180"/>
      <c r="J1029" s="1181"/>
      <c r="K1029" s="1181"/>
      <c r="L1029" s="1181"/>
      <c r="M1029" s="1181"/>
      <c r="N1029" s="1181"/>
      <c r="O1029" s="1181"/>
      <c r="P1029" s="1182"/>
      <c r="Q1029" s="1158">
        <f>'4.NERACA'!I79</f>
        <v>659476410</v>
      </c>
      <c r="R1029" s="1159"/>
      <c r="S1029" s="1159"/>
      <c r="T1029" s="1159"/>
      <c r="U1029" s="1160"/>
      <c r="V1029" s="52"/>
    </row>
    <row r="1030" spans="1:22" s="141" customFormat="1" ht="18.75" customHeight="1">
      <c r="A1030" s="81"/>
      <c r="B1030" s="1171">
        <f t="shared" si="28"/>
        <v>4</v>
      </c>
      <c r="C1030" s="1172"/>
      <c r="D1030" s="1179" t="str">
        <f>'4.NERACA'!C80</f>
        <v>Alat Angkutan Berat Tak Bermotor</v>
      </c>
      <c r="E1030" s="1180"/>
      <c r="F1030" s="1180"/>
      <c r="G1030" s="1180"/>
      <c r="H1030" s="1180"/>
      <c r="I1030" s="1180"/>
      <c r="J1030" s="1181"/>
      <c r="K1030" s="1181"/>
      <c r="L1030" s="1181"/>
      <c r="M1030" s="1181"/>
      <c r="N1030" s="1181"/>
      <c r="O1030" s="1181"/>
      <c r="P1030" s="1182"/>
      <c r="Q1030" s="1158">
        <f>'4.NERACA'!I80</f>
        <v>0</v>
      </c>
      <c r="R1030" s="1159"/>
      <c r="S1030" s="1159"/>
      <c r="T1030" s="1159"/>
      <c r="U1030" s="1160"/>
      <c r="V1030" s="52"/>
    </row>
    <row r="1031" spans="1:22" s="141" customFormat="1" ht="18.75" customHeight="1">
      <c r="A1031" s="81"/>
      <c r="B1031" s="1171">
        <f t="shared" si="28"/>
        <v>5</v>
      </c>
      <c r="C1031" s="1172"/>
      <c r="D1031" s="1179" t="str">
        <f>'4.NERACA'!C81</f>
        <v>Alat Ukur</v>
      </c>
      <c r="E1031" s="1180"/>
      <c r="F1031" s="1180"/>
      <c r="G1031" s="1180"/>
      <c r="H1031" s="1180"/>
      <c r="I1031" s="1180"/>
      <c r="J1031" s="1181"/>
      <c r="K1031" s="1181"/>
      <c r="L1031" s="1181"/>
      <c r="M1031" s="1181"/>
      <c r="N1031" s="1181"/>
      <c r="O1031" s="1181"/>
      <c r="P1031" s="1182"/>
      <c r="Q1031" s="1158">
        <f>'4.NERACA'!I81</f>
        <v>0</v>
      </c>
      <c r="R1031" s="1159"/>
      <c r="S1031" s="1159"/>
      <c r="T1031" s="1159"/>
      <c r="U1031" s="1160"/>
      <c r="V1031" s="52"/>
    </row>
    <row r="1032" spans="1:22" s="141" customFormat="1" ht="18.75" customHeight="1">
      <c r="A1032" s="81"/>
      <c r="B1032" s="1171">
        <f t="shared" si="28"/>
        <v>6</v>
      </c>
      <c r="C1032" s="1172"/>
      <c r="D1032" s="1179" t="str">
        <f>'4.NERACA'!C82</f>
        <v>Alat Kantor</v>
      </c>
      <c r="E1032" s="1180"/>
      <c r="F1032" s="1180"/>
      <c r="G1032" s="1180"/>
      <c r="H1032" s="1180"/>
      <c r="I1032" s="1180"/>
      <c r="J1032" s="1181"/>
      <c r="K1032" s="1181"/>
      <c r="L1032" s="1181"/>
      <c r="M1032" s="1181"/>
      <c r="N1032" s="1181"/>
      <c r="O1032" s="1181"/>
      <c r="P1032" s="1182"/>
      <c r="Q1032" s="1158">
        <f>'4.NERACA'!I82</f>
        <v>35106666</v>
      </c>
      <c r="R1032" s="1159"/>
      <c r="S1032" s="1159"/>
      <c r="T1032" s="1159"/>
      <c r="U1032" s="1160"/>
      <c r="V1032" s="52"/>
    </row>
    <row r="1033" spans="1:22" s="141" customFormat="1" ht="18.75" customHeight="1">
      <c r="A1033" s="81"/>
      <c r="B1033" s="1171">
        <f t="shared" si="28"/>
        <v>7</v>
      </c>
      <c r="C1033" s="1172"/>
      <c r="D1033" s="1179" t="str">
        <f>'4.NERACA'!C83</f>
        <v>Alat Rumah Tangga</v>
      </c>
      <c r="E1033" s="1180"/>
      <c r="F1033" s="1180"/>
      <c r="G1033" s="1180"/>
      <c r="H1033" s="1180"/>
      <c r="I1033" s="1180"/>
      <c r="J1033" s="1181"/>
      <c r="K1033" s="1181"/>
      <c r="L1033" s="1181"/>
      <c r="M1033" s="1181"/>
      <c r="N1033" s="1181"/>
      <c r="O1033" s="1181"/>
      <c r="P1033" s="1182"/>
      <c r="Q1033" s="1158">
        <f>'4.NERACA'!I83</f>
        <v>283987400</v>
      </c>
      <c r="R1033" s="1159"/>
      <c r="S1033" s="1159"/>
      <c r="T1033" s="1159"/>
      <c r="U1033" s="1160"/>
      <c r="V1033" s="52"/>
    </row>
    <row r="1034" spans="1:22" s="141" customFormat="1" ht="18.75" customHeight="1">
      <c r="A1034" s="81"/>
      <c r="B1034" s="1171">
        <f t="shared" si="28"/>
        <v>8</v>
      </c>
      <c r="C1034" s="1172"/>
      <c r="D1034" s="1179" t="str">
        <f>'4.NERACA'!C84</f>
        <v>Komputer</v>
      </c>
      <c r="E1034" s="1180"/>
      <c r="F1034" s="1180"/>
      <c r="G1034" s="1180"/>
      <c r="H1034" s="1180"/>
      <c r="I1034" s="1180"/>
      <c r="J1034" s="1181"/>
      <c r="K1034" s="1181"/>
      <c r="L1034" s="1181"/>
      <c r="M1034" s="1181"/>
      <c r="N1034" s="1181"/>
      <c r="O1034" s="1181"/>
      <c r="P1034" s="1182"/>
      <c r="Q1034" s="1158">
        <f>'4.NERACA'!I84</f>
        <v>218139246</v>
      </c>
      <c r="R1034" s="1159"/>
      <c r="S1034" s="1159"/>
      <c r="T1034" s="1159"/>
      <c r="U1034" s="1160"/>
      <c r="V1034" s="52"/>
    </row>
    <row r="1035" spans="1:22" s="141" customFormat="1" ht="18.75" customHeight="1">
      <c r="A1035" s="81"/>
      <c r="B1035" s="1171">
        <f t="shared" si="28"/>
        <v>9</v>
      </c>
      <c r="C1035" s="1172"/>
      <c r="D1035" s="1484" t="str">
        <f>'4.NERACA'!C85</f>
        <v>Meja Dan Kursi Kerja/Rapat Pejabat</v>
      </c>
      <c r="E1035" s="1485"/>
      <c r="F1035" s="1485"/>
      <c r="G1035" s="1485"/>
      <c r="H1035" s="1485"/>
      <c r="I1035" s="1485"/>
      <c r="J1035" s="1181"/>
      <c r="K1035" s="1181"/>
      <c r="L1035" s="1181"/>
      <c r="M1035" s="1181"/>
      <c r="N1035" s="1181"/>
      <c r="O1035" s="1181"/>
      <c r="P1035" s="1182"/>
      <c r="Q1035" s="1158">
        <f>'4.NERACA'!I85</f>
        <v>29413000</v>
      </c>
      <c r="R1035" s="1159"/>
      <c r="S1035" s="1159"/>
      <c r="T1035" s="1159"/>
      <c r="U1035" s="1160"/>
      <c r="V1035" s="52"/>
    </row>
    <row r="1036" spans="1:22" s="141" customFormat="1" ht="18.75" customHeight="1">
      <c r="A1036" s="81"/>
      <c r="B1036" s="1171">
        <f t="shared" si="28"/>
        <v>10</v>
      </c>
      <c r="C1036" s="1172"/>
      <c r="D1036" s="1179" t="str">
        <f>'4.NERACA'!C86</f>
        <v>Alat Studio</v>
      </c>
      <c r="E1036" s="1180"/>
      <c r="F1036" s="1180"/>
      <c r="G1036" s="1180"/>
      <c r="H1036" s="1180"/>
      <c r="I1036" s="1180"/>
      <c r="J1036" s="1181"/>
      <c r="K1036" s="1181"/>
      <c r="L1036" s="1181"/>
      <c r="M1036" s="1181"/>
      <c r="N1036" s="1181"/>
      <c r="O1036" s="1181"/>
      <c r="P1036" s="1182"/>
      <c r="Q1036" s="1158">
        <f>'4.NERACA'!I86</f>
        <v>44684064</v>
      </c>
      <c r="R1036" s="1159"/>
      <c r="S1036" s="1159"/>
      <c r="T1036" s="1159"/>
      <c r="U1036" s="1160"/>
      <c r="V1036" s="52"/>
    </row>
    <row r="1037" spans="1:22" s="141" customFormat="1" ht="18.75" customHeight="1">
      <c r="A1037" s="81"/>
      <c r="B1037" s="1171">
        <f t="shared" si="28"/>
        <v>11</v>
      </c>
      <c r="C1037" s="1172"/>
      <c r="D1037" s="1179" t="str">
        <f>'4.NERACA'!C87</f>
        <v>Alat Komunilasi</v>
      </c>
      <c r="E1037" s="1180"/>
      <c r="F1037" s="1180"/>
      <c r="G1037" s="1180"/>
      <c r="H1037" s="1180"/>
      <c r="I1037" s="1180"/>
      <c r="J1037" s="1181"/>
      <c r="K1037" s="1181"/>
      <c r="L1037" s="1181"/>
      <c r="M1037" s="1181"/>
      <c r="N1037" s="1181"/>
      <c r="O1037" s="1181"/>
      <c r="P1037" s="1182"/>
      <c r="Q1037" s="1158">
        <f>'4.NERACA'!I87</f>
        <v>11455000</v>
      </c>
      <c r="R1037" s="1159"/>
      <c r="S1037" s="1159"/>
      <c r="T1037" s="1159"/>
      <c r="U1037" s="1160"/>
      <c r="V1037" s="52"/>
    </row>
    <row r="1038" spans="1:22" s="141" customFormat="1" ht="18.75" customHeight="1">
      <c r="A1038" s="81"/>
      <c r="B1038" s="1171">
        <f t="shared" si="28"/>
        <v>12</v>
      </c>
      <c r="C1038" s="1172"/>
      <c r="D1038" s="1179" t="str">
        <f>'4.NERACA'!C88</f>
        <v>Peralatan Pemancar</v>
      </c>
      <c r="E1038" s="1180"/>
      <c r="F1038" s="1180"/>
      <c r="G1038" s="1180"/>
      <c r="H1038" s="1180"/>
      <c r="I1038" s="1180"/>
      <c r="J1038" s="1181"/>
      <c r="K1038" s="1181"/>
      <c r="L1038" s="1181"/>
      <c r="M1038" s="1181"/>
      <c r="N1038" s="1181"/>
      <c r="O1038" s="1181"/>
      <c r="P1038" s="1182"/>
      <c r="Q1038" s="1158">
        <f>'4.NERACA'!I88</f>
        <v>0</v>
      </c>
      <c r="R1038" s="1159"/>
      <c r="S1038" s="1159"/>
      <c r="T1038" s="1159"/>
      <c r="U1038" s="1160"/>
      <c r="V1038" s="52"/>
    </row>
    <row r="1039" spans="1:22" s="141" customFormat="1" ht="18.75" customHeight="1">
      <c r="A1039" s="81"/>
      <c r="B1039" s="1171">
        <f t="shared" si="28"/>
        <v>13</v>
      </c>
      <c r="C1039" s="1172"/>
      <c r="D1039" s="1179" t="str">
        <f>'4.NERACA'!C89</f>
        <v>Alat Kedokteran</v>
      </c>
      <c r="E1039" s="1180"/>
      <c r="F1039" s="1180"/>
      <c r="G1039" s="1180"/>
      <c r="H1039" s="1180"/>
      <c r="I1039" s="1180"/>
      <c r="J1039" s="1181"/>
      <c r="K1039" s="1181"/>
      <c r="L1039" s="1181"/>
      <c r="M1039" s="1181"/>
      <c r="N1039" s="1181"/>
      <c r="O1039" s="1181"/>
      <c r="P1039" s="1182"/>
      <c r="Q1039" s="1158">
        <f>'4.NERACA'!I89</f>
        <v>0</v>
      </c>
      <c r="R1039" s="1159"/>
      <c r="S1039" s="1159"/>
      <c r="T1039" s="1159"/>
      <c r="U1039" s="1160"/>
      <c r="V1039" s="52"/>
    </row>
    <row r="1040" spans="1:22" s="141" customFormat="1" ht="18.75" customHeight="1">
      <c r="A1040" s="81"/>
      <c r="B1040" s="1171">
        <f t="shared" si="28"/>
        <v>14</v>
      </c>
      <c r="C1040" s="1172"/>
      <c r="D1040" s="1179" t="str">
        <f>'4.NERACA'!C90</f>
        <v>Alat Kesehatan</v>
      </c>
      <c r="E1040" s="1180"/>
      <c r="F1040" s="1180"/>
      <c r="G1040" s="1180"/>
      <c r="H1040" s="1180"/>
      <c r="I1040" s="1180"/>
      <c r="J1040" s="1181"/>
      <c r="K1040" s="1181"/>
      <c r="L1040" s="1181"/>
      <c r="M1040" s="1181"/>
      <c r="N1040" s="1181"/>
      <c r="O1040" s="1181"/>
      <c r="P1040" s="1182"/>
      <c r="Q1040" s="1158">
        <f>'4.NERACA'!I90</f>
        <v>0</v>
      </c>
      <c r="R1040" s="1159"/>
      <c r="S1040" s="1159"/>
      <c r="T1040" s="1159"/>
      <c r="U1040" s="1160"/>
      <c r="V1040" s="52"/>
    </row>
    <row r="1041" spans="1:22" s="141" customFormat="1" ht="18.75" customHeight="1">
      <c r="A1041" s="81"/>
      <c r="B1041" s="1171">
        <f t="shared" si="28"/>
        <v>15</v>
      </c>
      <c r="C1041" s="1172"/>
      <c r="D1041" s="1179" t="str">
        <f>'4.NERACA'!C91</f>
        <v>Unit-Unit Laboratorium</v>
      </c>
      <c r="E1041" s="1180"/>
      <c r="F1041" s="1180"/>
      <c r="G1041" s="1180"/>
      <c r="H1041" s="1180"/>
      <c r="I1041" s="1180"/>
      <c r="J1041" s="1181"/>
      <c r="K1041" s="1181"/>
      <c r="L1041" s="1181"/>
      <c r="M1041" s="1181"/>
      <c r="N1041" s="1181"/>
      <c r="O1041" s="1181"/>
      <c r="P1041" s="1182"/>
      <c r="Q1041" s="1158">
        <f>'4.NERACA'!I91</f>
        <v>0</v>
      </c>
      <c r="R1041" s="1159"/>
      <c r="S1041" s="1159"/>
      <c r="T1041" s="1159"/>
      <c r="U1041" s="1160"/>
      <c r="V1041" s="52"/>
    </row>
    <row r="1042" spans="1:22" s="141" customFormat="1" ht="18.75" customHeight="1">
      <c r="A1042" s="81"/>
      <c r="B1042" s="1171">
        <f t="shared" si="28"/>
        <v>16</v>
      </c>
      <c r="C1042" s="1172"/>
      <c r="D1042" s="1179" t="str">
        <f>'4.NERACA'!C92</f>
        <v>Alat Peraga/Praktek Sekolah</v>
      </c>
      <c r="E1042" s="1180"/>
      <c r="F1042" s="1180"/>
      <c r="G1042" s="1180"/>
      <c r="H1042" s="1180"/>
      <c r="I1042" s="1180"/>
      <c r="J1042" s="1181"/>
      <c r="K1042" s="1181"/>
      <c r="L1042" s="1181"/>
      <c r="M1042" s="1181"/>
      <c r="N1042" s="1181"/>
      <c r="O1042" s="1181"/>
      <c r="P1042" s="1182"/>
      <c r="Q1042" s="1158">
        <f>'4.NERACA'!I92</f>
        <v>0</v>
      </c>
      <c r="R1042" s="1159"/>
      <c r="S1042" s="1159"/>
      <c r="T1042" s="1159"/>
      <c r="U1042" s="1160"/>
      <c r="V1042" s="52"/>
    </row>
    <row r="1043" spans="1:22" s="141" customFormat="1" ht="18.75" customHeight="1">
      <c r="A1043" s="81"/>
      <c r="B1043" s="1171">
        <f t="shared" si="28"/>
        <v>17</v>
      </c>
      <c r="C1043" s="1172"/>
      <c r="D1043" s="1179" t="str">
        <f>'4.NERACA'!C93</f>
        <v>Unit Alat Laboratorium Kimia Nuklir</v>
      </c>
      <c r="E1043" s="1180"/>
      <c r="F1043" s="1180"/>
      <c r="G1043" s="1180"/>
      <c r="H1043" s="1180"/>
      <c r="I1043" s="1180"/>
      <c r="J1043" s="1181"/>
      <c r="K1043" s="1181"/>
      <c r="L1043" s="1181"/>
      <c r="M1043" s="1181"/>
      <c r="N1043" s="1181"/>
      <c r="O1043" s="1181"/>
      <c r="P1043" s="1182"/>
      <c r="Q1043" s="1158">
        <f>'4.NERACA'!I93</f>
        <v>0</v>
      </c>
      <c r="R1043" s="1159"/>
      <c r="S1043" s="1159"/>
      <c r="T1043" s="1159"/>
      <c r="U1043" s="1160"/>
      <c r="V1043" s="52"/>
    </row>
    <row r="1044" spans="1:22" s="141" customFormat="1" ht="18.75" customHeight="1">
      <c r="A1044" s="81"/>
      <c r="B1044" s="1171">
        <f>B1043+1</f>
        <v>18</v>
      </c>
      <c r="C1044" s="1172"/>
      <c r="D1044" s="1179" t="str">
        <f>'4.NERACA'!C94</f>
        <v>Alat Laboratorium Fisila Nuklir / Elektronila</v>
      </c>
      <c r="E1044" s="1180"/>
      <c r="F1044" s="1180"/>
      <c r="G1044" s="1180"/>
      <c r="H1044" s="1180"/>
      <c r="I1044" s="1180"/>
      <c r="J1044" s="1181"/>
      <c r="K1044" s="1181"/>
      <c r="L1044" s="1181"/>
      <c r="M1044" s="1181"/>
      <c r="N1044" s="1181"/>
      <c r="O1044" s="1181"/>
      <c r="P1044" s="1182"/>
      <c r="Q1044" s="1158">
        <f>'4.NERACA'!I94</f>
        <v>0</v>
      </c>
      <c r="R1044" s="1159"/>
      <c r="S1044" s="1159"/>
      <c r="T1044" s="1159"/>
      <c r="U1044" s="1160"/>
      <c r="V1044" s="52"/>
    </row>
    <row r="1045" spans="1:22" s="141" customFormat="1" ht="18.75" customHeight="1">
      <c r="A1045" s="81"/>
      <c r="B1045" s="1171">
        <f>B1044+1</f>
        <v>19</v>
      </c>
      <c r="C1045" s="1172"/>
      <c r="D1045" s="1179" t="str">
        <f>'4.NERACA'!C95</f>
        <v>Alat Proteksi Radiasi / Proteksi Lingkungan</v>
      </c>
      <c r="E1045" s="1180"/>
      <c r="F1045" s="1180"/>
      <c r="G1045" s="1180"/>
      <c r="H1045" s="1180"/>
      <c r="I1045" s="1180"/>
      <c r="J1045" s="1181"/>
      <c r="K1045" s="1181"/>
      <c r="L1045" s="1181"/>
      <c r="M1045" s="1181"/>
      <c r="N1045" s="1181"/>
      <c r="O1045" s="1181"/>
      <c r="P1045" s="1182"/>
      <c r="Q1045" s="1158">
        <f>'4.NERACA'!I95</f>
        <v>0</v>
      </c>
      <c r="R1045" s="1159"/>
      <c r="S1045" s="1159"/>
      <c r="T1045" s="1159"/>
      <c r="U1045" s="1160"/>
      <c r="V1045" s="52"/>
    </row>
    <row r="1046" spans="1:22" s="141" customFormat="1" ht="26.25" customHeight="1">
      <c r="A1046" s="81"/>
      <c r="B1046" s="1171">
        <f>B1045+1</f>
        <v>20</v>
      </c>
      <c r="C1046" s="1172"/>
      <c r="D1046" s="1179" t="str">
        <f>'4.NERACA'!C96</f>
        <v>Radiation Aplication and Non Destructive Testing Laboratory (BATAM)</v>
      </c>
      <c r="E1046" s="1180"/>
      <c r="F1046" s="1180"/>
      <c r="G1046" s="1180"/>
      <c r="H1046" s="1180"/>
      <c r="I1046" s="1180"/>
      <c r="J1046" s="1181"/>
      <c r="K1046" s="1181"/>
      <c r="L1046" s="1181"/>
      <c r="M1046" s="1181"/>
      <c r="N1046" s="1181"/>
      <c r="O1046" s="1181"/>
      <c r="P1046" s="1182"/>
      <c r="Q1046" s="1158">
        <f>'4.NERACA'!I96</f>
        <v>0</v>
      </c>
      <c r="R1046" s="1159"/>
      <c r="S1046" s="1159"/>
      <c r="T1046" s="1159"/>
      <c r="U1046" s="1160"/>
      <c r="V1046" s="52"/>
    </row>
    <row r="1047" spans="1:22" s="141" customFormat="1" ht="18.75" customHeight="1">
      <c r="A1047" s="81"/>
      <c r="B1047" s="1171">
        <f t="shared" si="28"/>
        <v>21</v>
      </c>
      <c r="C1047" s="1172"/>
      <c r="D1047" s="1179" t="str">
        <f>'4.NERACA'!C97</f>
        <v>Alat Laboratorium Lingkungan Hidup</v>
      </c>
      <c r="E1047" s="1180"/>
      <c r="F1047" s="1180"/>
      <c r="G1047" s="1180"/>
      <c r="H1047" s="1180"/>
      <c r="I1047" s="1180"/>
      <c r="J1047" s="1181"/>
      <c r="K1047" s="1181"/>
      <c r="L1047" s="1181"/>
      <c r="M1047" s="1181"/>
      <c r="N1047" s="1181"/>
      <c r="O1047" s="1181"/>
      <c r="P1047" s="1182"/>
      <c r="Q1047" s="1158">
        <f>'4.NERACA'!I97</f>
        <v>0</v>
      </c>
      <c r="R1047" s="1159"/>
      <c r="S1047" s="1159"/>
      <c r="T1047" s="1159"/>
      <c r="U1047" s="1160"/>
      <c r="V1047" s="52"/>
    </row>
    <row r="1048" spans="1:30" s="141" customFormat="1" ht="18.75" customHeight="1">
      <c r="A1048" s="81"/>
      <c r="B1048" s="1171">
        <f t="shared" si="28"/>
        <v>22</v>
      </c>
      <c r="C1048" s="1172"/>
      <c r="D1048" s="1179" t="str">
        <f>'4.NERACA'!C98</f>
        <v>Alat Keamanan dan Perlindungan</v>
      </c>
      <c r="E1048" s="1180"/>
      <c r="F1048" s="1180"/>
      <c r="G1048" s="1180"/>
      <c r="H1048" s="1180"/>
      <c r="I1048" s="1180"/>
      <c r="J1048" s="1181"/>
      <c r="K1048" s="1181"/>
      <c r="L1048" s="1181"/>
      <c r="M1048" s="1181"/>
      <c r="N1048" s="1181"/>
      <c r="O1048" s="1181"/>
      <c r="P1048" s="1182"/>
      <c r="Q1048" s="1158">
        <f>'4.NERACA'!I98</f>
        <v>0</v>
      </c>
      <c r="R1048" s="1159"/>
      <c r="S1048" s="1159"/>
      <c r="T1048" s="1159"/>
      <c r="U1048" s="1160"/>
      <c r="V1048" s="1138"/>
      <c r="W1048" s="1139"/>
      <c r="X1048" s="1139"/>
      <c r="Y1048" s="1139"/>
      <c r="Z1048" s="1139"/>
      <c r="AA1048" s="1139"/>
      <c r="AB1048" s="1139"/>
      <c r="AC1048" s="1139"/>
      <c r="AD1048" s="1139"/>
    </row>
    <row r="1049" spans="1:22" s="141" customFormat="1" ht="15" customHeight="1">
      <c r="A1049" s="81"/>
      <c r="B1049" s="1448" t="s">
        <v>10</v>
      </c>
      <c r="C1049" s="1449"/>
      <c r="D1049" s="1449"/>
      <c r="E1049" s="1449"/>
      <c r="F1049" s="1449"/>
      <c r="G1049" s="1449"/>
      <c r="H1049" s="1449"/>
      <c r="I1049" s="1449"/>
      <c r="J1049" s="1449"/>
      <c r="K1049" s="1449"/>
      <c r="L1049" s="1449"/>
      <c r="M1049" s="1449"/>
      <c r="N1049" s="1449"/>
      <c r="O1049" s="1449"/>
      <c r="P1049" s="1450"/>
      <c r="Q1049" s="1158">
        <f>SUM(Q1027:U1048)</f>
        <v>1292546786</v>
      </c>
      <c r="R1049" s="1159"/>
      <c r="S1049" s="1159"/>
      <c r="T1049" s="1159"/>
      <c r="U1049" s="1160"/>
      <c r="V1049" s="52"/>
    </row>
    <row r="1050" spans="1:22" s="141" customFormat="1" ht="15" customHeight="1">
      <c r="A1050" s="81"/>
      <c r="B1050" s="61"/>
      <c r="C1050" s="61"/>
      <c r="D1050" s="61"/>
      <c r="E1050" s="61"/>
      <c r="F1050" s="61"/>
      <c r="G1050" s="61"/>
      <c r="H1050" s="61"/>
      <c r="I1050" s="61"/>
      <c r="J1050" s="61"/>
      <c r="K1050" s="61"/>
      <c r="L1050" s="61"/>
      <c r="M1050" s="61"/>
      <c r="N1050" s="61"/>
      <c r="O1050" s="61"/>
      <c r="P1050" s="61"/>
      <c r="Q1050" s="841"/>
      <c r="R1050" s="841"/>
      <c r="S1050" s="841"/>
      <c r="T1050" s="841"/>
      <c r="U1050" s="841"/>
      <c r="V1050" s="52"/>
    </row>
    <row r="1051" spans="1:22" s="141" customFormat="1" ht="15" customHeight="1">
      <c r="A1051" s="81"/>
      <c r="B1051" s="61"/>
      <c r="C1051" s="61"/>
      <c r="D1051" s="61"/>
      <c r="E1051" s="61"/>
      <c r="F1051" s="61"/>
      <c r="G1051" s="61"/>
      <c r="H1051" s="61"/>
      <c r="I1051" s="61"/>
      <c r="J1051" s="61"/>
      <c r="K1051" s="61"/>
      <c r="L1051" s="61"/>
      <c r="M1051" s="61"/>
      <c r="N1051" s="61"/>
      <c r="O1051" s="61"/>
      <c r="P1051" s="61"/>
      <c r="Q1051" s="841"/>
      <c r="R1051" s="841"/>
      <c r="S1051" s="841"/>
      <c r="T1051" s="841"/>
      <c r="U1051" s="841"/>
      <c r="V1051" s="52"/>
    </row>
    <row r="1052" spans="1:22" s="141" customFormat="1" ht="15" customHeight="1">
      <c r="A1052" s="81"/>
      <c r="B1052" s="61"/>
      <c r="C1052" s="61"/>
      <c r="D1052" s="61"/>
      <c r="E1052" s="61"/>
      <c r="F1052" s="61"/>
      <c r="G1052" s="61"/>
      <c r="H1052" s="61"/>
      <c r="I1052" s="61"/>
      <c r="J1052" s="61"/>
      <c r="K1052" s="61"/>
      <c r="L1052" s="61"/>
      <c r="M1052" s="61"/>
      <c r="N1052" s="61"/>
      <c r="O1052" s="61"/>
      <c r="P1052" s="61"/>
      <c r="Q1052" s="841"/>
      <c r="R1052" s="841"/>
      <c r="S1052" s="841"/>
      <c r="T1052" s="841"/>
      <c r="U1052" s="841"/>
      <c r="V1052" s="52"/>
    </row>
    <row r="1053" spans="1:22" s="141" customFormat="1" ht="15" customHeight="1">
      <c r="A1053" s="81"/>
      <c r="B1053" s="61"/>
      <c r="C1053" s="61"/>
      <c r="D1053" s="61"/>
      <c r="E1053" s="61"/>
      <c r="F1053" s="61"/>
      <c r="G1053" s="61"/>
      <c r="H1053" s="61"/>
      <c r="I1053" s="61"/>
      <c r="J1053" s="61"/>
      <c r="K1053" s="61"/>
      <c r="L1053" s="61"/>
      <c r="M1053" s="61"/>
      <c r="N1053" s="61"/>
      <c r="O1053" s="61"/>
      <c r="P1053" s="61"/>
      <c r="Q1053" s="841"/>
      <c r="R1053" s="841"/>
      <c r="S1053" s="841"/>
      <c r="T1053" s="841"/>
      <c r="U1053" s="841"/>
      <c r="V1053" s="52"/>
    </row>
    <row r="1054" spans="1:22" s="141" customFormat="1" ht="15">
      <c r="A1054" s="81"/>
      <c r="B1054" s="61"/>
      <c r="C1054" s="61"/>
      <c r="D1054" s="61"/>
      <c r="E1054" s="61"/>
      <c r="F1054" s="61"/>
      <c r="G1054" s="61"/>
      <c r="H1054" s="61"/>
      <c r="I1054" s="61"/>
      <c r="J1054" s="61"/>
      <c r="K1054" s="61"/>
      <c r="L1054" s="61"/>
      <c r="M1054" s="61"/>
      <c r="N1054" s="61"/>
      <c r="O1054" s="61"/>
      <c r="P1054" s="61"/>
      <c r="Q1054" s="629"/>
      <c r="R1054" s="629"/>
      <c r="S1054" s="629"/>
      <c r="T1054" s="629"/>
      <c r="U1054" s="629"/>
      <c r="V1054" s="52"/>
    </row>
    <row r="1055" spans="1:22" s="141" customFormat="1" ht="15" customHeight="1">
      <c r="A1055" s="1678"/>
      <c r="B1055" s="777" t="s">
        <v>781</v>
      </c>
      <c r="C1055" s="1137" t="s">
        <v>90</v>
      </c>
      <c r="D1055" s="1137"/>
      <c r="E1055" s="1137"/>
      <c r="F1055" s="1137"/>
      <c r="G1055" s="1137"/>
      <c r="H1055" s="1137"/>
      <c r="I1055" s="1137"/>
      <c r="J1055" s="1137"/>
      <c r="K1055" s="1137"/>
      <c r="L1055" s="1137"/>
      <c r="M1055" s="1137"/>
      <c r="N1055" s="1137"/>
      <c r="O1055" s="1137"/>
      <c r="P1055" s="1137"/>
      <c r="Q1055" s="1137"/>
      <c r="R1055" s="1137"/>
      <c r="S1055" s="1137"/>
      <c r="T1055" s="1137"/>
      <c r="U1055" s="1137"/>
      <c r="V1055" s="52"/>
    </row>
    <row r="1056" spans="1:22" s="141" customFormat="1" ht="77.25" customHeight="1">
      <c r="A1056" s="1678"/>
      <c r="C1056" s="1091" t="str">
        <f>"Nilai Gedung dan Bangunan per "&amp;'2.ISIAN DATA SKPD'!D8&amp;" dan "&amp;'2.ISIAN DATA SKPD'!D12&amp;" adalah Rp. "&amp;FIXED(R1060)&amp;" dan Rp. "&amp;FIXED(B1060)&amp;" mengalami kenaikan/penurunan sebesar Rp. "&amp;FIXED(AC1060)&amp;" atau sebesar "&amp;FIXED(Y1060)&amp;"% dari tahun "&amp;'2.ISIAN DATA SKPD'!D12&amp;".  Mutasi transaksi terhadap Gedung dan Bangunan pada tanggal pelaporan adalah sebagai berikut:"</f>
        <v>Nilai Gedung dan Bangunan per 31 Desember 2017 dan 2016 adalah Rp. 2,394,728,350.00 dan Rp. 2,377,374,350.00 mengalami kenaikan/penurunan sebesar Rp. 17,354,000.00 atau sebesar 0.73% dari tahun 2016.  Mutasi transaksi terhadap Gedung dan Bangunan pada tanggal pelaporan adalah sebagai berikut:</v>
      </c>
      <c r="D1056" s="1091"/>
      <c r="E1056" s="1091"/>
      <c r="F1056" s="1091"/>
      <c r="G1056" s="1091"/>
      <c r="H1056" s="1091"/>
      <c r="I1056" s="1091"/>
      <c r="J1056" s="1091"/>
      <c r="K1056" s="1091"/>
      <c r="L1056" s="1091"/>
      <c r="M1056" s="1091"/>
      <c r="N1056" s="1091"/>
      <c r="O1056" s="1091"/>
      <c r="P1056" s="1091"/>
      <c r="Q1056" s="1091"/>
      <c r="R1056" s="1091"/>
      <c r="S1056" s="1091"/>
      <c r="T1056" s="1091"/>
      <c r="U1056" s="1091"/>
      <c r="V1056" s="52"/>
    </row>
    <row r="1057" spans="1:22" s="141" customFormat="1" ht="7.5" customHeight="1">
      <c r="A1057" s="778"/>
      <c r="C1057" s="702"/>
      <c r="D1057" s="702"/>
      <c r="E1057" s="702"/>
      <c r="F1057" s="702"/>
      <c r="G1057" s="702"/>
      <c r="H1057" s="702"/>
      <c r="I1057" s="702"/>
      <c r="J1057" s="702"/>
      <c r="K1057" s="702"/>
      <c r="L1057" s="702"/>
      <c r="M1057" s="702"/>
      <c r="N1057" s="702"/>
      <c r="O1057" s="702"/>
      <c r="P1057" s="702"/>
      <c r="Q1057" s="702"/>
      <c r="R1057" s="702"/>
      <c r="S1057" s="702"/>
      <c r="T1057" s="702"/>
      <c r="U1057" s="702"/>
      <c r="V1057" s="52"/>
    </row>
    <row r="1058" spans="1:22" s="141" customFormat="1" ht="25.5" customHeight="1">
      <c r="A1058" s="1156" t="s">
        <v>9</v>
      </c>
      <c r="B1058" s="1077" t="s">
        <v>762</v>
      </c>
      <c r="C1058" s="1077"/>
      <c r="D1058" s="1077"/>
      <c r="E1058" s="1077"/>
      <c r="F1058" s="1151" t="s">
        <v>190</v>
      </c>
      <c r="G1058" s="1151"/>
      <c r="H1058" s="1151"/>
      <c r="I1058" s="1151"/>
      <c r="J1058" s="1151"/>
      <c r="K1058" s="1151"/>
      <c r="L1058" s="1151" t="s">
        <v>761</v>
      </c>
      <c r="M1058" s="1151"/>
      <c r="N1058" s="1151"/>
      <c r="O1058" s="1151"/>
      <c r="P1058" s="1151"/>
      <c r="Q1058" s="1151"/>
      <c r="R1058" s="1077" t="s">
        <v>763</v>
      </c>
      <c r="S1058" s="1077"/>
      <c r="T1058" s="1077"/>
      <c r="U1058" s="1077"/>
      <c r="V1058" s="52"/>
    </row>
    <row r="1059" spans="1:32" s="141" customFormat="1" ht="25.5" customHeight="1">
      <c r="A1059" s="1157"/>
      <c r="B1059" s="1471">
        <v>2016</v>
      </c>
      <c r="C1059" s="1472"/>
      <c r="D1059" s="1472"/>
      <c r="E1059" s="1473"/>
      <c r="F1059" s="1077" t="s">
        <v>419</v>
      </c>
      <c r="G1059" s="1077"/>
      <c r="H1059" s="1077"/>
      <c r="I1059" s="1077" t="s">
        <v>420</v>
      </c>
      <c r="J1059" s="1077"/>
      <c r="K1059" s="1077"/>
      <c r="L1059" s="1077" t="s">
        <v>419</v>
      </c>
      <c r="M1059" s="1077"/>
      <c r="N1059" s="1077"/>
      <c r="O1059" s="1150" t="s">
        <v>420</v>
      </c>
      <c r="P1059" s="1150"/>
      <c r="Q1059" s="1150"/>
      <c r="R1059" s="1173">
        <v>2017</v>
      </c>
      <c r="S1059" s="1174"/>
      <c r="T1059" s="1174"/>
      <c r="U1059" s="1175"/>
      <c r="V1059" s="1074"/>
      <c r="W1059" s="1073"/>
      <c r="X1059" s="1073"/>
      <c r="Y1059" s="1045" t="s">
        <v>1677</v>
      </c>
      <c r="Z1059" s="1073"/>
      <c r="AA1059" s="1073"/>
      <c r="AB1059" s="1073"/>
      <c r="AC1059" s="1085" t="s">
        <v>1676</v>
      </c>
      <c r="AD1059" s="1086"/>
      <c r="AE1059" s="1086"/>
      <c r="AF1059" s="1086"/>
    </row>
    <row r="1060" spans="1:32" s="141" customFormat="1" ht="28.5" customHeight="1">
      <c r="A1060" s="824" t="str">
        <f>C1055</f>
        <v>Gedung dan Bangunan</v>
      </c>
      <c r="B1060" s="1474">
        <f>'4.NERACA'!D99</f>
        <v>2377374350</v>
      </c>
      <c r="C1060" s="1474"/>
      <c r="D1060" s="1474"/>
      <c r="E1060" s="1474"/>
      <c r="F1060" s="1474">
        <f>'4.NERACA'!E99</f>
        <v>17354000</v>
      </c>
      <c r="G1060" s="1474"/>
      <c r="H1060" s="1474"/>
      <c r="I1060" s="1474">
        <f>'4.NERACA'!F99</f>
        <v>0</v>
      </c>
      <c r="J1060" s="1474"/>
      <c r="K1060" s="1474"/>
      <c r="L1060" s="1474">
        <f>'4.NERACA'!G99</f>
        <v>0</v>
      </c>
      <c r="M1060" s="1474"/>
      <c r="N1060" s="1474"/>
      <c r="O1060" s="1474">
        <f>'4.NERACA'!H99</f>
        <v>0</v>
      </c>
      <c r="P1060" s="1474"/>
      <c r="Q1060" s="1474"/>
      <c r="R1060" s="1474">
        <f>B1060+F1060-I1060+L1060-O1060</f>
        <v>2394728350</v>
      </c>
      <c r="S1060" s="1474"/>
      <c r="T1060" s="1474"/>
      <c r="U1060" s="1474"/>
      <c r="V1060" s="1072"/>
      <c r="W1060" s="1073"/>
      <c r="X1060" s="1073"/>
      <c r="Y1060" s="1045">
        <f>(R1060-B1060)/B1060*100</f>
        <v>0.7299649716503419</v>
      </c>
      <c r="Z1060" s="1073"/>
      <c r="AA1060" s="1073"/>
      <c r="AB1060" s="1073"/>
      <c r="AC1060" s="1045">
        <f>R1060-B1060</f>
        <v>17354000</v>
      </c>
      <c r="AD1060" s="1046"/>
      <c r="AE1060" s="1046"/>
      <c r="AF1060" s="1046"/>
    </row>
    <row r="1061" spans="1:22" s="141" customFormat="1" ht="18.75" customHeight="1">
      <c r="A1061" s="828"/>
      <c r="B1061" s="1475" t="s">
        <v>764</v>
      </c>
      <c r="C1061" s="1475"/>
      <c r="D1061" s="1475"/>
      <c r="E1061" s="1475"/>
      <c r="F1061" s="1475"/>
      <c r="G1061" s="1475"/>
      <c r="H1061" s="1475"/>
      <c r="I1061" s="1475"/>
      <c r="J1061" s="1475"/>
      <c r="K1061" s="1475"/>
      <c r="L1061" s="1475"/>
      <c r="M1061" s="1475"/>
      <c r="N1061" s="1476"/>
      <c r="O1061" s="1476"/>
      <c r="P1061" s="1476"/>
      <c r="Q1061" s="1476"/>
      <c r="R1061" s="1476"/>
      <c r="S1061" s="1476"/>
      <c r="T1061" s="1476"/>
      <c r="U1061" s="1476"/>
      <c r="V1061" s="52"/>
    </row>
    <row r="1062" spans="1:22" s="141" customFormat="1" ht="15" customHeight="1">
      <c r="A1062" s="828"/>
      <c r="B1062" s="829" t="s">
        <v>15</v>
      </c>
      <c r="C1062" s="1167" t="str">
        <f>'4.NERACA'!C100</f>
        <v>Bangunan Gedung Tempat Kerja</v>
      </c>
      <c r="D1062" s="1167"/>
      <c r="E1062" s="1167"/>
      <c r="F1062" s="1167"/>
      <c r="G1062" s="1167"/>
      <c r="H1062" s="1167"/>
      <c r="I1062" s="1167"/>
      <c r="J1062" s="1167"/>
      <c r="K1062" s="1167"/>
      <c r="L1062" s="1167"/>
      <c r="M1062" s="1167"/>
      <c r="N1062" s="1167"/>
      <c r="O1062" s="1167"/>
      <c r="P1062" s="1167"/>
      <c r="Q1062" s="1167"/>
      <c r="R1062" s="1167"/>
      <c r="S1062" s="1167"/>
      <c r="T1062" s="1167"/>
      <c r="U1062" s="1167"/>
      <c r="V1062" s="52"/>
    </row>
    <row r="1063" spans="1:22" s="141" customFormat="1" ht="63.75" customHeight="1">
      <c r="A1063" s="82"/>
      <c r="C1063" s="1091" t="str">
        <f>"Nilai aset tetap berupa Bangunan Gedung Tempat Kerja  per "&amp;'2.ISIAN DATA SKPD'!D8&amp;" dan  "&amp;'2.ISIAN DATA SKPD'!D12&amp;" adalah sebesar Rp. "&amp;FIXED(R1067)&amp;" dan Rp. "&amp;FIXED(B1067)&amp;" mengalami kenaikan sebesar Rp. "&amp;FIXED(AC1067)&amp;" atau sebesar "&amp;FIXED(Y1067)&amp;"% dari tahun "&amp;'2.ISIAN DATA SKPD'!D12&amp;"."</f>
        <v>Nilai aset tetap berupa Bangunan Gedung Tempat Kerja  per 31 Desember 2017 dan  2016 adalah sebesar Rp. 2,133,142,350.00 dan Rp. 2,115,788,350.00 mengalami kenaikan sebesar Rp. 17,354,000.00 atau sebesar 0.82% dari tahun 2016.</v>
      </c>
      <c r="D1063" s="1091"/>
      <c r="E1063" s="1091"/>
      <c r="F1063" s="1091"/>
      <c r="G1063" s="1091"/>
      <c r="H1063" s="1091"/>
      <c r="I1063" s="1091"/>
      <c r="J1063" s="1091"/>
      <c r="K1063" s="1091"/>
      <c r="L1063" s="1091"/>
      <c r="M1063" s="1091"/>
      <c r="N1063" s="1091"/>
      <c r="O1063" s="1091"/>
      <c r="P1063" s="1091"/>
      <c r="Q1063" s="1091"/>
      <c r="R1063" s="1091"/>
      <c r="S1063" s="1091"/>
      <c r="T1063" s="1091"/>
      <c r="U1063" s="1091"/>
      <c r="V1063" s="52"/>
    </row>
    <row r="1064" spans="1:22" s="141" customFormat="1" ht="24.75" customHeight="1">
      <c r="A1064" s="82"/>
      <c r="C1064" s="1091" t="str">
        <f>"Dengan mutasi  selama tahun "&amp;'2.ISIAN DATA SKPD'!D11&amp;" sebagai berikut :"</f>
        <v>Dengan mutasi  selama tahun 2017 sebagai berikut :</v>
      </c>
      <c r="D1064" s="1091"/>
      <c r="E1064" s="1091"/>
      <c r="F1064" s="1091"/>
      <c r="G1064" s="1091"/>
      <c r="H1064" s="1091"/>
      <c r="I1064" s="1091"/>
      <c r="J1064" s="1091"/>
      <c r="K1064" s="1091"/>
      <c r="L1064" s="1091"/>
      <c r="M1064" s="1091"/>
      <c r="N1064" s="1091"/>
      <c r="O1064" s="1091"/>
      <c r="P1064" s="1091"/>
      <c r="Q1064" s="1091"/>
      <c r="R1064" s="1091"/>
      <c r="S1064" s="1091"/>
      <c r="T1064" s="1091"/>
      <c r="U1064" s="1091"/>
      <c r="V1064" s="52"/>
    </row>
    <row r="1065" spans="1:22" s="141" customFormat="1" ht="17.25" customHeight="1">
      <c r="A1065" s="1156" t="s">
        <v>9</v>
      </c>
      <c r="B1065" s="1169" t="s">
        <v>762</v>
      </c>
      <c r="C1065" s="1169"/>
      <c r="D1065" s="1169"/>
      <c r="E1065" s="1169"/>
      <c r="F1065" s="1178" t="s">
        <v>190</v>
      </c>
      <c r="G1065" s="1178"/>
      <c r="H1065" s="1178"/>
      <c r="I1065" s="1178"/>
      <c r="J1065" s="1178"/>
      <c r="K1065" s="1178"/>
      <c r="L1065" s="1178" t="s">
        <v>761</v>
      </c>
      <c r="M1065" s="1178"/>
      <c r="N1065" s="1178"/>
      <c r="O1065" s="1178"/>
      <c r="P1065" s="1178"/>
      <c r="Q1065" s="1178"/>
      <c r="R1065" s="1169" t="s">
        <v>763</v>
      </c>
      <c r="S1065" s="1169"/>
      <c r="T1065" s="1169"/>
      <c r="U1065" s="1169"/>
      <c r="V1065" s="52"/>
    </row>
    <row r="1066" spans="1:32" s="141" customFormat="1" ht="15" customHeight="1">
      <c r="A1066" s="1157"/>
      <c r="B1066" s="1161">
        <f>B1059</f>
        <v>2016</v>
      </c>
      <c r="C1066" s="1176"/>
      <c r="D1066" s="1176"/>
      <c r="E1066" s="1177"/>
      <c r="F1066" s="1169" t="s">
        <v>419</v>
      </c>
      <c r="G1066" s="1169"/>
      <c r="H1066" s="1169"/>
      <c r="I1066" s="1169" t="s">
        <v>420</v>
      </c>
      <c r="J1066" s="1169"/>
      <c r="K1066" s="1169"/>
      <c r="L1066" s="1169" t="s">
        <v>419</v>
      </c>
      <c r="M1066" s="1169"/>
      <c r="N1066" s="1169"/>
      <c r="O1066" s="1170" t="s">
        <v>420</v>
      </c>
      <c r="P1066" s="1170"/>
      <c r="Q1066" s="1170"/>
      <c r="R1066" s="1173">
        <f>R1059</f>
        <v>2017</v>
      </c>
      <c r="S1066" s="1174"/>
      <c r="T1066" s="1174"/>
      <c r="U1066" s="1175"/>
      <c r="V1066" s="1074"/>
      <c r="W1066" s="1073"/>
      <c r="X1066" s="1073"/>
      <c r="Y1066" s="1045" t="s">
        <v>1677</v>
      </c>
      <c r="Z1066" s="1073"/>
      <c r="AA1066" s="1073"/>
      <c r="AB1066" s="1073"/>
      <c r="AC1066" s="1085" t="s">
        <v>1676</v>
      </c>
      <c r="AD1066" s="1086"/>
      <c r="AE1066" s="1086"/>
      <c r="AF1066" s="1086"/>
    </row>
    <row r="1067" spans="1:32" s="141" customFormat="1" ht="46.5" customHeight="1">
      <c r="A1067" s="779" t="str">
        <f>C1062</f>
        <v>Bangunan Gedung Tempat Kerja</v>
      </c>
      <c r="B1067" s="1152">
        <f>'4.NERACA'!D100</f>
        <v>2115788350</v>
      </c>
      <c r="C1067" s="1153"/>
      <c r="D1067" s="1153"/>
      <c r="E1067" s="1154"/>
      <c r="F1067" s="1152">
        <f>'4.NERACA'!E100</f>
        <v>17354000</v>
      </c>
      <c r="G1067" s="1153"/>
      <c r="H1067" s="1154"/>
      <c r="I1067" s="1152">
        <f>'4.NERACA'!F100</f>
        <v>0</v>
      </c>
      <c r="J1067" s="1153"/>
      <c r="K1067" s="1154"/>
      <c r="L1067" s="1152">
        <f>'4.NERACA'!G100</f>
        <v>0</v>
      </c>
      <c r="M1067" s="1153"/>
      <c r="N1067" s="1154"/>
      <c r="O1067" s="1152">
        <f>'4.NERACA'!H100</f>
        <v>0</v>
      </c>
      <c r="P1067" s="1153"/>
      <c r="Q1067" s="1154"/>
      <c r="R1067" s="1152">
        <f>B1067+F1067-I1067+L1067-O1067</f>
        <v>2133142350</v>
      </c>
      <c r="S1067" s="1153"/>
      <c r="T1067" s="1153"/>
      <c r="U1067" s="1154"/>
      <c r="V1067" s="1072"/>
      <c r="W1067" s="1073"/>
      <c r="X1067" s="1073"/>
      <c r="Y1067" s="1045">
        <f>(R1067-B1067)/B1067*100</f>
        <v>0.8202143659596197</v>
      </c>
      <c r="Z1067" s="1073"/>
      <c r="AA1067" s="1073"/>
      <c r="AB1067" s="1073"/>
      <c r="AC1067" s="1045">
        <f>R1067-B1067</f>
        <v>17354000</v>
      </c>
      <c r="AD1067" s="1046"/>
      <c r="AE1067" s="1046"/>
      <c r="AF1067" s="1046"/>
    </row>
    <row r="1068" spans="1:22" s="141" customFormat="1" ht="15" customHeight="1">
      <c r="A1068" s="81"/>
      <c r="B1068" s="1337" t="s">
        <v>766</v>
      </c>
      <c r="C1068" s="1337"/>
      <c r="D1068" s="1337"/>
      <c r="E1068" s="1337"/>
      <c r="F1068" s="1337"/>
      <c r="G1068" s="1337"/>
      <c r="H1068" s="1337"/>
      <c r="I1068" s="1337"/>
      <c r="J1068" s="1337"/>
      <c r="K1068" s="1337"/>
      <c r="L1068" s="1337"/>
      <c r="M1068" s="1337"/>
      <c r="N1068" s="1337"/>
      <c r="O1068" s="1337"/>
      <c r="P1068" s="1337"/>
      <c r="Q1068" s="1337"/>
      <c r="R1068" s="1337"/>
      <c r="S1068" s="1337"/>
      <c r="T1068" s="1337"/>
      <c r="U1068" s="1337"/>
      <c r="V1068" s="52"/>
    </row>
    <row r="1069" spans="1:22" s="141" customFormat="1" ht="15" customHeight="1">
      <c r="A1069" s="81"/>
      <c r="B1069" s="629"/>
      <c r="C1069" s="1337" t="s">
        <v>1562</v>
      </c>
      <c r="D1069" s="1337"/>
      <c r="E1069" s="1337"/>
      <c r="F1069" s="1337"/>
      <c r="G1069" s="1337"/>
      <c r="H1069" s="1337"/>
      <c r="I1069" s="1337"/>
      <c r="J1069" s="1337"/>
      <c r="K1069" s="1337"/>
      <c r="L1069" s="1337"/>
      <c r="M1069" s="1337"/>
      <c r="N1069" s="1337"/>
      <c r="O1069" s="1337"/>
      <c r="P1069" s="1337"/>
      <c r="Q1069" s="1337"/>
      <c r="R1069" s="1337"/>
      <c r="S1069" s="1337"/>
      <c r="T1069" s="1337"/>
      <c r="U1069" s="1337"/>
      <c r="V1069" s="52"/>
    </row>
    <row r="1070" spans="1:22" s="141" customFormat="1" ht="15" customHeight="1">
      <c r="A1070" s="81"/>
      <c r="B1070" s="629"/>
      <c r="C1070" s="1337" t="s">
        <v>1575</v>
      </c>
      <c r="D1070" s="1337"/>
      <c r="E1070" s="1337"/>
      <c r="F1070" s="1337"/>
      <c r="G1070" s="1337"/>
      <c r="H1070" s="1337"/>
      <c r="I1070" s="1337"/>
      <c r="J1070" s="1337"/>
      <c r="K1070" s="1337"/>
      <c r="L1070" s="1337"/>
      <c r="M1070" s="1337"/>
      <c r="N1070" s="1337"/>
      <c r="O1070" s="1337"/>
      <c r="P1070" s="1337"/>
      <c r="Q1070" s="1337"/>
      <c r="R1070" s="1337"/>
      <c r="S1070" s="1337"/>
      <c r="T1070" s="1337"/>
      <c r="U1070" s="1337"/>
      <c r="V1070" s="52"/>
    </row>
    <row r="1071" spans="1:22" s="141" customFormat="1" ht="15" customHeight="1">
      <c r="A1071" s="81"/>
      <c r="B1071" s="629"/>
      <c r="C1071" s="1337" t="s">
        <v>1563</v>
      </c>
      <c r="D1071" s="1337"/>
      <c r="E1071" s="1337"/>
      <c r="F1071" s="1337"/>
      <c r="G1071" s="1337"/>
      <c r="H1071" s="1337"/>
      <c r="I1071" s="1337"/>
      <c r="J1071" s="1337"/>
      <c r="K1071" s="1337"/>
      <c r="L1071" s="1337"/>
      <c r="M1071" s="1337"/>
      <c r="N1071" s="1337"/>
      <c r="O1071" s="1337"/>
      <c r="P1071" s="1337"/>
      <c r="Q1071" s="1337"/>
      <c r="R1071" s="1337"/>
      <c r="S1071" s="1337"/>
      <c r="T1071" s="1337"/>
      <c r="U1071" s="1337"/>
      <c r="V1071" s="52"/>
    </row>
    <row r="1072" spans="1:22" s="141" customFormat="1" ht="15.75" customHeight="1">
      <c r="A1072" s="81"/>
      <c r="B1072" s="10"/>
      <c r="C1072" s="1337" t="s">
        <v>1575</v>
      </c>
      <c r="D1072" s="1337"/>
      <c r="E1072" s="1337"/>
      <c r="F1072" s="1337"/>
      <c r="G1072" s="1337"/>
      <c r="H1072" s="1337"/>
      <c r="I1072" s="1337"/>
      <c r="J1072" s="1337"/>
      <c r="K1072" s="1337"/>
      <c r="L1072" s="1337"/>
      <c r="M1072" s="1337"/>
      <c r="N1072" s="1337"/>
      <c r="O1072" s="1337"/>
      <c r="P1072" s="1337"/>
      <c r="Q1072" s="1337"/>
      <c r="R1072" s="1337"/>
      <c r="S1072" s="1337"/>
      <c r="T1072" s="1337"/>
      <c r="U1072" s="1337"/>
      <c r="V1072" s="52"/>
    </row>
    <row r="1073" spans="1:22" s="141" customFormat="1" ht="6" customHeight="1">
      <c r="A1073" s="82"/>
      <c r="B1073" s="1226"/>
      <c r="C1073" s="1226"/>
      <c r="D1073" s="1226"/>
      <c r="E1073" s="1226"/>
      <c r="F1073" s="1226"/>
      <c r="G1073" s="1226"/>
      <c r="H1073" s="1226"/>
      <c r="I1073" s="1226"/>
      <c r="J1073" s="1226"/>
      <c r="K1073" s="1226"/>
      <c r="L1073" s="1226"/>
      <c r="M1073" s="1226"/>
      <c r="N1073" s="1638"/>
      <c r="O1073" s="1638"/>
      <c r="P1073" s="1638"/>
      <c r="Q1073" s="1638"/>
      <c r="R1073" s="1638"/>
      <c r="S1073" s="1638"/>
      <c r="T1073" s="1638"/>
      <c r="U1073" s="1638"/>
      <c r="V1073" s="52"/>
    </row>
    <row r="1074" spans="1:22" s="141" customFormat="1" ht="15" customHeight="1">
      <c r="A1074" s="82"/>
      <c r="B1074" s="774" t="s">
        <v>16</v>
      </c>
      <c r="C1074" s="1111" t="str">
        <f>'4.NERACA'!C101</f>
        <v>Bangunan Gedung Tempat Tinggal</v>
      </c>
      <c r="D1074" s="1111"/>
      <c r="E1074" s="1111"/>
      <c r="F1074" s="1111"/>
      <c r="G1074" s="1111"/>
      <c r="H1074" s="1111"/>
      <c r="I1074" s="1111"/>
      <c r="J1074" s="1111"/>
      <c r="K1074" s="1111"/>
      <c r="L1074" s="1111"/>
      <c r="M1074" s="1111"/>
      <c r="N1074" s="1111"/>
      <c r="O1074" s="1111"/>
      <c r="P1074" s="1111"/>
      <c r="Q1074" s="1111"/>
      <c r="R1074" s="1111"/>
      <c r="S1074" s="1111"/>
      <c r="T1074" s="1111"/>
      <c r="U1074" s="1111"/>
      <c r="V1074" s="52"/>
    </row>
    <row r="1075" spans="1:22" s="141" customFormat="1" ht="62.25" customHeight="1">
      <c r="A1075" s="82"/>
      <c r="C1075" s="1091" t="str">
        <f>"Nilai aset tetap berupa "&amp;C1074&amp;"  per "&amp;'2.ISIAN DATA SKPD'!D8&amp;" dan  "&amp;'2.ISIAN DATA SKPD'!D12&amp;" adalah sebesar Rp. "&amp;FIXED(R1081)&amp;" dan Rp. "&amp;FIXED(B1081)&amp;" tidak mengalami kenaikan/penurunan sebesar Rp. "&amp;FIXED(AC1081)&amp;" atau sebesar "&amp;FIXED(Y1081)&amp;"% dari tahun "&amp;'2.ISIAN DATA SKPD'!D12&amp;"."</f>
        <v>Nilai aset tetap berupa Bangunan Gedung Tempat Tinggal  per 31 Desember 2017 dan  2016 adalah sebesar Rp. 261,586,000.00 dan Rp. 261,586,000.00 tidak mengalami kenaikan/penurunan sebesar Rp. 0.00 atau sebesar 0.00% dari tahun 2016.</v>
      </c>
      <c r="D1075" s="1091"/>
      <c r="E1075" s="1091"/>
      <c r="F1075" s="1091"/>
      <c r="G1075" s="1091"/>
      <c r="H1075" s="1091"/>
      <c r="I1075" s="1091"/>
      <c r="J1075" s="1091"/>
      <c r="K1075" s="1091"/>
      <c r="L1075" s="1091"/>
      <c r="M1075" s="1091"/>
      <c r="N1075" s="1091"/>
      <c r="O1075" s="1091"/>
      <c r="P1075" s="1091"/>
      <c r="Q1075" s="1091"/>
      <c r="R1075" s="1091"/>
      <c r="S1075" s="1091"/>
      <c r="T1075" s="1091"/>
      <c r="U1075" s="1091"/>
      <c r="V1075" s="52"/>
    </row>
    <row r="1076" spans="1:22" s="141" customFormat="1" ht="26.25" customHeight="1">
      <c r="A1076" s="82"/>
      <c r="B1076" s="702"/>
      <c r="C1076" s="1091" t="str">
        <f>"Dengan mutasi  selama tahun "&amp;'2.ISIAN DATA SKPD'!D11&amp;" sebagai berikut :"</f>
        <v>Dengan mutasi  selama tahun 2017 sebagai berikut :</v>
      </c>
      <c r="D1076" s="1091"/>
      <c r="E1076" s="1091"/>
      <c r="F1076" s="1091"/>
      <c r="G1076" s="1091"/>
      <c r="H1076" s="1091"/>
      <c r="I1076" s="1091"/>
      <c r="J1076" s="1091"/>
      <c r="K1076" s="1091"/>
      <c r="L1076" s="1091"/>
      <c r="M1076" s="1091"/>
      <c r="N1076" s="1091"/>
      <c r="O1076" s="1091"/>
      <c r="P1076" s="1091"/>
      <c r="Q1076" s="1091"/>
      <c r="R1076" s="1091"/>
      <c r="S1076" s="1091"/>
      <c r="T1076" s="1091"/>
      <c r="U1076" s="1091"/>
      <c r="V1076" s="52"/>
    </row>
    <row r="1077" spans="1:22" s="141" customFormat="1" ht="17.25" customHeight="1">
      <c r="A1077" s="838"/>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52"/>
    </row>
    <row r="1078" spans="1:22" s="141" customFormat="1" ht="9.75" customHeight="1">
      <c r="A1078" s="82"/>
      <c r="B1078" s="702"/>
      <c r="C1078" s="702"/>
      <c r="D1078" s="702"/>
      <c r="E1078" s="702"/>
      <c r="F1078" s="702"/>
      <c r="G1078" s="702"/>
      <c r="H1078" s="702"/>
      <c r="I1078" s="702"/>
      <c r="J1078" s="702"/>
      <c r="K1078" s="702"/>
      <c r="L1078" s="702"/>
      <c r="M1078" s="702"/>
      <c r="N1078" s="702"/>
      <c r="O1078" s="702"/>
      <c r="P1078" s="702"/>
      <c r="Q1078" s="702"/>
      <c r="R1078" s="702"/>
      <c r="S1078" s="702"/>
      <c r="T1078" s="702"/>
      <c r="U1078" s="702"/>
      <c r="V1078" s="52"/>
    </row>
    <row r="1079" spans="1:22" s="141" customFormat="1" ht="15" customHeight="1">
      <c r="A1079" s="1156" t="s">
        <v>9</v>
      </c>
      <c r="B1079" s="1169" t="s">
        <v>762</v>
      </c>
      <c r="C1079" s="1169"/>
      <c r="D1079" s="1169"/>
      <c r="E1079" s="1169"/>
      <c r="F1079" s="1178" t="s">
        <v>190</v>
      </c>
      <c r="G1079" s="1178"/>
      <c r="H1079" s="1178"/>
      <c r="I1079" s="1178"/>
      <c r="J1079" s="1178"/>
      <c r="K1079" s="1178"/>
      <c r="L1079" s="1178" t="s">
        <v>761</v>
      </c>
      <c r="M1079" s="1178"/>
      <c r="N1079" s="1178"/>
      <c r="O1079" s="1178"/>
      <c r="P1079" s="1178"/>
      <c r="Q1079" s="1178"/>
      <c r="R1079" s="1169" t="s">
        <v>763</v>
      </c>
      <c r="S1079" s="1169"/>
      <c r="T1079" s="1169"/>
      <c r="U1079" s="1169"/>
      <c r="V1079" s="52"/>
    </row>
    <row r="1080" spans="1:32" s="141" customFormat="1" ht="20.25" customHeight="1">
      <c r="A1080" s="1157"/>
      <c r="B1080" s="1466">
        <f>B1066</f>
        <v>2016</v>
      </c>
      <c r="C1080" s="1467"/>
      <c r="D1080" s="1467"/>
      <c r="E1080" s="1467"/>
      <c r="F1080" s="1169" t="s">
        <v>419</v>
      </c>
      <c r="G1080" s="1169"/>
      <c r="H1080" s="1169"/>
      <c r="I1080" s="1169" t="s">
        <v>420</v>
      </c>
      <c r="J1080" s="1169"/>
      <c r="K1080" s="1169"/>
      <c r="L1080" s="1169" t="s">
        <v>419</v>
      </c>
      <c r="M1080" s="1169"/>
      <c r="N1080" s="1169"/>
      <c r="O1080" s="1170" t="s">
        <v>420</v>
      </c>
      <c r="P1080" s="1170"/>
      <c r="Q1080" s="1170"/>
      <c r="R1080" s="1173">
        <f>R1066</f>
        <v>2017</v>
      </c>
      <c r="S1080" s="1174"/>
      <c r="T1080" s="1174"/>
      <c r="U1080" s="1175"/>
      <c r="V1080" s="1074"/>
      <c r="W1080" s="1073"/>
      <c r="X1080" s="1073"/>
      <c r="Y1080" s="1045" t="s">
        <v>1677</v>
      </c>
      <c r="Z1080" s="1073"/>
      <c r="AA1080" s="1073"/>
      <c r="AB1080" s="1073"/>
      <c r="AC1080" s="1085" t="s">
        <v>1676</v>
      </c>
      <c r="AD1080" s="1086"/>
      <c r="AE1080" s="1086"/>
      <c r="AF1080" s="1086"/>
    </row>
    <row r="1081" spans="1:32" s="141" customFormat="1" ht="47.25" customHeight="1">
      <c r="A1081" s="779" t="str">
        <f>C1074</f>
        <v>Bangunan Gedung Tempat Tinggal</v>
      </c>
      <c r="B1081" s="1152">
        <f>'4.NERACA'!D101</f>
        <v>261586000</v>
      </c>
      <c r="C1081" s="1153"/>
      <c r="D1081" s="1153"/>
      <c r="E1081" s="1154"/>
      <c r="F1081" s="1152">
        <f>'4.NERACA'!E101</f>
        <v>0</v>
      </c>
      <c r="G1081" s="1153"/>
      <c r="H1081" s="1154"/>
      <c r="I1081" s="1152">
        <f>'4.NERACA'!F101</f>
        <v>0</v>
      </c>
      <c r="J1081" s="1153"/>
      <c r="K1081" s="1154"/>
      <c r="L1081" s="1152">
        <f>'4.NERACA'!G101</f>
        <v>0</v>
      </c>
      <c r="M1081" s="1153"/>
      <c r="N1081" s="1154"/>
      <c r="O1081" s="1152">
        <f>'4.NERACA'!H101</f>
        <v>0</v>
      </c>
      <c r="P1081" s="1153"/>
      <c r="Q1081" s="1154"/>
      <c r="R1081" s="1152">
        <f>B1081+F1081-I1081+L1081-O1081</f>
        <v>261586000</v>
      </c>
      <c r="S1081" s="1153"/>
      <c r="T1081" s="1153"/>
      <c r="U1081" s="1154"/>
      <c r="V1081" s="1072"/>
      <c r="W1081" s="1073"/>
      <c r="X1081" s="1073"/>
      <c r="Y1081" s="1045">
        <f>(R1081-B1081)/B1081*100</f>
        <v>0</v>
      </c>
      <c r="Z1081" s="1073"/>
      <c r="AA1081" s="1073"/>
      <c r="AB1081" s="1073"/>
      <c r="AC1081" s="1045">
        <f>R1081-B1081</f>
        <v>0</v>
      </c>
      <c r="AD1081" s="1046"/>
      <c r="AE1081" s="1046"/>
      <c r="AF1081" s="1046"/>
    </row>
    <row r="1082" spans="1:22" s="141" customFormat="1" ht="15" customHeight="1">
      <c r="A1082" s="81"/>
      <c r="B1082" s="1337" t="s">
        <v>766</v>
      </c>
      <c r="C1082" s="1337"/>
      <c r="D1082" s="1337"/>
      <c r="E1082" s="1337"/>
      <c r="F1082" s="1337"/>
      <c r="G1082" s="1337"/>
      <c r="H1082" s="1337"/>
      <c r="I1082" s="1337"/>
      <c r="J1082" s="1337"/>
      <c r="K1082" s="1337"/>
      <c r="L1082" s="1337"/>
      <c r="M1082" s="1337"/>
      <c r="N1082" s="1337"/>
      <c r="O1082" s="1337"/>
      <c r="P1082" s="1337"/>
      <c r="Q1082" s="1337"/>
      <c r="R1082" s="1337"/>
      <c r="S1082" s="1337"/>
      <c r="T1082" s="1337"/>
      <c r="U1082" s="1337"/>
      <c r="V1082" s="52"/>
    </row>
    <row r="1083" spans="1:22" s="141" customFormat="1" ht="15" customHeight="1">
      <c r="A1083" s="81"/>
      <c r="B1083" s="629"/>
      <c r="C1083" s="1337" t="str">
        <f>"a. Penambahan Aset sebesar Rp. "&amp;FIXED(F1081+L1081)&amp;"  :"</f>
        <v>a. Penambahan Aset sebesar Rp. 0.00  :</v>
      </c>
      <c r="D1083" s="1337"/>
      <c r="E1083" s="1337"/>
      <c r="F1083" s="1337"/>
      <c r="G1083" s="1337"/>
      <c r="H1083" s="1337"/>
      <c r="I1083" s="1337"/>
      <c r="J1083" s="1337"/>
      <c r="K1083" s="1337"/>
      <c r="L1083" s="1337"/>
      <c r="M1083" s="1337"/>
      <c r="N1083" s="1337"/>
      <c r="O1083" s="1337"/>
      <c r="P1083" s="1337"/>
      <c r="Q1083" s="1337"/>
      <c r="R1083" s="1337"/>
      <c r="S1083" s="1337"/>
      <c r="T1083" s="1337"/>
      <c r="U1083" s="1337"/>
      <c r="V1083" s="52"/>
    </row>
    <row r="1084" spans="1:22" s="141" customFormat="1" ht="0.75" customHeight="1" hidden="1">
      <c r="A1084" s="81"/>
      <c r="B1084" s="629"/>
      <c r="C1084" s="1168"/>
      <c r="D1084" s="1168"/>
      <c r="E1084" s="1168"/>
      <c r="F1084" s="1168"/>
      <c r="G1084" s="1168"/>
      <c r="H1084" s="1168"/>
      <c r="I1084" s="1168"/>
      <c r="J1084" s="1168"/>
      <c r="K1084" s="1168"/>
      <c r="L1084" s="1168"/>
      <c r="M1084" s="1168"/>
      <c r="N1084" s="1168"/>
      <c r="O1084" s="1168"/>
      <c r="P1084" s="1168"/>
      <c r="Q1084" s="1168"/>
      <c r="R1084" s="1168"/>
      <c r="S1084" s="1168"/>
      <c r="T1084" s="1168"/>
      <c r="U1084" s="1168"/>
      <c r="V1084" s="52"/>
    </row>
    <row r="1085" spans="1:22" s="141" customFormat="1" ht="0.75" customHeight="1" hidden="1">
      <c r="A1085" s="81"/>
      <c r="B1085" s="629"/>
      <c r="C1085" s="1168"/>
      <c r="D1085" s="1168"/>
      <c r="E1085" s="1168"/>
      <c r="F1085" s="1168"/>
      <c r="G1085" s="1168"/>
      <c r="H1085" s="1168"/>
      <c r="I1085" s="1168"/>
      <c r="J1085" s="1168"/>
      <c r="K1085" s="1168"/>
      <c r="L1085" s="1168"/>
      <c r="M1085" s="1168"/>
      <c r="N1085" s="1168"/>
      <c r="O1085" s="1168"/>
      <c r="P1085" s="1168"/>
      <c r="Q1085" s="1168"/>
      <c r="R1085" s="1168"/>
      <c r="S1085" s="1168"/>
      <c r="T1085" s="1168"/>
      <c r="U1085" s="1168"/>
      <c r="V1085" s="52"/>
    </row>
    <row r="1086" spans="1:22" s="141" customFormat="1" ht="15" customHeight="1">
      <c r="A1086" s="81"/>
      <c r="B1086" s="629"/>
      <c r="C1086" s="1168" t="str">
        <f>"b. Pengurangan Aset sebesar Rp. "&amp;FIXED(I1081+O1081)&amp;" ."</f>
        <v>b. Pengurangan Aset sebesar Rp. 0.00 .</v>
      </c>
      <c r="D1086" s="1168"/>
      <c r="E1086" s="1168"/>
      <c r="F1086" s="1168"/>
      <c r="G1086" s="1168"/>
      <c r="H1086" s="1168"/>
      <c r="I1086" s="1168"/>
      <c r="J1086" s="1168"/>
      <c r="K1086" s="1168"/>
      <c r="L1086" s="1168"/>
      <c r="M1086" s="1168"/>
      <c r="N1086" s="1168"/>
      <c r="O1086" s="1168"/>
      <c r="P1086" s="1168"/>
      <c r="Q1086" s="1168"/>
      <c r="R1086" s="1168"/>
      <c r="S1086" s="1168"/>
      <c r="T1086" s="1168"/>
      <c r="U1086" s="1168"/>
      <c r="V1086" s="52"/>
    </row>
    <row r="1087" spans="1:22" s="141" customFormat="1" ht="13.5" customHeight="1">
      <c r="A1087" s="81"/>
      <c r="B1087" s="10"/>
      <c r="C1087" s="1168"/>
      <c r="D1087" s="1168"/>
      <c r="E1087" s="1168"/>
      <c r="F1087" s="1168"/>
      <c r="G1087" s="1168"/>
      <c r="H1087" s="1168"/>
      <c r="I1087" s="1168"/>
      <c r="J1087" s="1168"/>
      <c r="K1087" s="1168"/>
      <c r="L1087" s="1168"/>
      <c r="M1087" s="1168"/>
      <c r="N1087" s="1168"/>
      <c r="O1087" s="1168"/>
      <c r="P1087" s="1168"/>
      <c r="Q1087" s="1168"/>
      <c r="R1087" s="1168"/>
      <c r="S1087" s="1168"/>
      <c r="T1087" s="1168"/>
      <c r="U1087" s="1168"/>
      <c r="V1087" s="52"/>
    </row>
    <row r="1088" spans="1:22" s="141" customFormat="1" ht="53.25" customHeight="1" hidden="1">
      <c r="A1088" s="81"/>
      <c r="B1088" s="10"/>
      <c r="C1088" s="708"/>
      <c r="D1088" s="1470"/>
      <c r="E1088" s="1470"/>
      <c r="F1088" s="1470"/>
      <c r="G1088" s="1470"/>
      <c r="H1088" s="1470"/>
      <c r="I1088" s="1470"/>
      <c r="J1088" s="1470"/>
      <c r="K1088" s="1470"/>
      <c r="L1088" s="1470"/>
      <c r="M1088" s="1470"/>
      <c r="N1088" s="1470"/>
      <c r="O1088" s="1470"/>
      <c r="P1088" s="1470"/>
      <c r="Q1088" s="1470"/>
      <c r="R1088" s="1470"/>
      <c r="S1088" s="1470"/>
      <c r="T1088" s="1470"/>
      <c r="U1088" s="1470"/>
      <c r="V1088" s="52"/>
    </row>
    <row r="1089" spans="1:22" s="141" customFormat="1" ht="23.25" customHeight="1" hidden="1">
      <c r="A1089" s="81"/>
      <c r="B1089" s="10"/>
      <c r="C1089" s="708"/>
      <c r="D1089" s="1470"/>
      <c r="E1089" s="1470"/>
      <c r="F1089" s="1470"/>
      <c r="G1089" s="1470"/>
      <c r="H1089" s="1470"/>
      <c r="I1089" s="1470"/>
      <c r="J1089" s="1470"/>
      <c r="K1089" s="1470"/>
      <c r="L1089" s="1470"/>
      <c r="M1089" s="1470"/>
      <c r="N1089" s="1470"/>
      <c r="O1089" s="1470"/>
      <c r="P1089" s="1470"/>
      <c r="Q1089" s="1470"/>
      <c r="R1089" s="1470"/>
      <c r="S1089" s="1470"/>
      <c r="T1089" s="1470"/>
      <c r="U1089" s="1470"/>
      <c r="V1089" s="52"/>
    </row>
    <row r="1090" spans="1:22" s="141" customFormat="1" ht="0.75" customHeight="1">
      <c r="A1090" s="82"/>
      <c r="B1090" s="626"/>
      <c r="C1090" s="626"/>
      <c r="D1090" s="626"/>
      <c r="E1090" s="626"/>
      <c r="F1090" s="626"/>
      <c r="G1090" s="626"/>
      <c r="H1090" s="626"/>
      <c r="I1090" s="626"/>
      <c r="J1090" s="626"/>
      <c r="K1090" s="626"/>
      <c r="L1090" s="626"/>
      <c r="M1090" s="626"/>
      <c r="N1090" s="5"/>
      <c r="O1090" s="5"/>
      <c r="P1090" s="5"/>
      <c r="Q1090" s="5"/>
      <c r="R1090" s="5"/>
      <c r="S1090" s="5"/>
      <c r="T1090" s="5"/>
      <c r="U1090" s="5"/>
      <c r="V1090" s="52"/>
    </row>
    <row r="1091" spans="1:22" s="141" customFormat="1" ht="15" customHeight="1">
      <c r="A1091" s="82"/>
      <c r="B1091" s="774" t="s">
        <v>17</v>
      </c>
      <c r="C1091" s="1111" t="str">
        <f>'4.NERACA'!C102</f>
        <v>Bangunan Menara</v>
      </c>
      <c r="D1091" s="1111"/>
      <c r="E1091" s="1111"/>
      <c r="F1091" s="1111"/>
      <c r="G1091" s="1111"/>
      <c r="H1091" s="1111"/>
      <c r="I1091" s="1111"/>
      <c r="J1091" s="1111"/>
      <c r="K1091" s="1111"/>
      <c r="L1091" s="1111"/>
      <c r="M1091" s="1111"/>
      <c r="N1091" s="1111"/>
      <c r="O1091" s="1111"/>
      <c r="P1091" s="1111"/>
      <c r="Q1091" s="1111"/>
      <c r="R1091" s="1111"/>
      <c r="S1091" s="1111"/>
      <c r="T1091" s="1111"/>
      <c r="U1091" s="1111"/>
      <c r="V1091" s="52"/>
    </row>
    <row r="1092" spans="1:40" s="141" customFormat="1" ht="13.5" customHeight="1">
      <c r="A1092" s="82"/>
      <c r="C1092" s="1091" t="s">
        <v>1575</v>
      </c>
      <c r="D1092" s="1091"/>
      <c r="E1092" s="1091"/>
      <c r="F1092" s="1091"/>
      <c r="G1092" s="1091"/>
      <c r="H1092" s="1091"/>
      <c r="I1092" s="1091"/>
      <c r="J1092" s="1091"/>
      <c r="K1092" s="1091"/>
      <c r="L1092" s="1091"/>
      <c r="M1092" s="1091"/>
      <c r="N1092" s="1091"/>
      <c r="O1092" s="1091"/>
      <c r="P1092" s="1091"/>
      <c r="Q1092" s="1091"/>
      <c r="R1092" s="1091"/>
      <c r="S1092" s="1091"/>
      <c r="T1092" s="1091"/>
      <c r="U1092" s="1091"/>
      <c r="V1092" s="1080"/>
      <c r="W1092" s="1080"/>
      <c r="X1092" s="1080"/>
      <c r="Y1092" s="1080"/>
      <c r="Z1092" s="1080"/>
      <c r="AA1092" s="1080"/>
      <c r="AB1092" s="1080"/>
      <c r="AC1092" s="1080"/>
      <c r="AD1092" s="1080"/>
      <c r="AE1092" s="1080"/>
      <c r="AF1092" s="1080"/>
      <c r="AG1092" s="1080"/>
      <c r="AH1092" s="1080"/>
      <c r="AI1092" s="1080"/>
      <c r="AJ1092" s="1080"/>
      <c r="AK1092" s="1080"/>
      <c r="AL1092" s="1080"/>
      <c r="AM1092" s="1080"/>
      <c r="AN1092" s="741"/>
    </row>
    <row r="1093" spans="1:22" s="141" customFormat="1" ht="56.25" customHeight="1" hidden="1">
      <c r="A1093" s="82"/>
      <c r="B1093" s="10"/>
      <c r="C1093" s="822"/>
      <c r="D1093" s="1167"/>
      <c r="E1093" s="1167"/>
      <c r="F1093" s="1167"/>
      <c r="G1093" s="1167"/>
      <c r="H1093" s="1167"/>
      <c r="I1093" s="1167"/>
      <c r="J1093" s="1167"/>
      <c r="K1093" s="1167"/>
      <c r="L1093" s="1167"/>
      <c r="M1093" s="1167"/>
      <c r="N1093" s="1167"/>
      <c r="O1093" s="1167"/>
      <c r="P1093" s="1167"/>
      <c r="Q1093" s="1167"/>
      <c r="R1093" s="1167"/>
      <c r="S1093" s="1167"/>
      <c r="T1093" s="1167"/>
      <c r="U1093" s="1167"/>
      <c r="V1093" s="52"/>
    </row>
    <row r="1094" spans="1:22" s="141" customFormat="1" ht="15" customHeight="1" hidden="1">
      <c r="A1094" s="82"/>
      <c r="B1094" s="10"/>
      <c r="C1094" s="822"/>
      <c r="D1094" s="1167"/>
      <c r="E1094" s="1167"/>
      <c r="F1094" s="1167"/>
      <c r="G1094" s="1167"/>
      <c r="H1094" s="1167"/>
      <c r="I1094" s="1167"/>
      <c r="J1094" s="1167"/>
      <c r="K1094" s="1167"/>
      <c r="L1094" s="1167"/>
      <c r="M1094" s="1167"/>
      <c r="N1094" s="1167"/>
      <c r="O1094" s="1167"/>
      <c r="P1094" s="1167"/>
      <c r="Q1094" s="1167"/>
      <c r="R1094" s="1167"/>
      <c r="S1094" s="1167"/>
      <c r="T1094" s="1167"/>
      <c r="U1094" s="1167"/>
      <c r="V1094" s="52"/>
    </row>
    <row r="1095" spans="1:22" s="141" customFormat="1" ht="21.75" customHeight="1" hidden="1">
      <c r="A1095" s="82"/>
      <c r="B1095" s="774"/>
      <c r="C1095" s="830"/>
      <c r="D1095" s="830"/>
      <c r="E1095" s="830"/>
      <c r="F1095" s="830"/>
      <c r="G1095" s="830"/>
      <c r="H1095" s="830"/>
      <c r="I1095" s="830"/>
      <c r="J1095" s="830"/>
      <c r="K1095" s="830"/>
      <c r="L1095" s="830"/>
      <c r="M1095" s="830"/>
      <c r="N1095" s="830"/>
      <c r="O1095" s="830"/>
      <c r="P1095" s="830"/>
      <c r="Q1095" s="830"/>
      <c r="R1095" s="830"/>
      <c r="S1095" s="830"/>
      <c r="T1095" s="830"/>
      <c r="U1095" s="830"/>
      <c r="V1095" s="52"/>
    </row>
    <row r="1096" spans="1:22" s="141" customFormat="1" ht="15" customHeight="1">
      <c r="A1096" s="82"/>
      <c r="B1096" s="774" t="s">
        <v>786</v>
      </c>
      <c r="C1096" s="1111" t="str">
        <f>'4.NERACA'!C103</f>
        <v>Bangunan Bersejarah</v>
      </c>
      <c r="D1096" s="1111"/>
      <c r="E1096" s="1111"/>
      <c r="F1096" s="1111"/>
      <c r="G1096" s="1111"/>
      <c r="H1096" s="1111"/>
      <c r="I1096" s="1111"/>
      <c r="J1096" s="1111"/>
      <c r="K1096" s="1111"/>
      <c r="L1096" s="1111"/>
      <c r="M1096" s="1111"/>
      <c r="N1096" s="1111"/>
      <c r="O1096" s="1111"/>
      <c r="P1096" s="1111"/>
      <c r="Q1096" s="1111"/>
      <c r="R1096" s="1111"/>
      <c r="S1096" s="1111"/>
      <c r="T1096" s="1111"/>
      <c r="U1096" s="1111"/>
      <c r="V1096" s="52"/>
    </row>
    <row r="1097" spans="1:22" s="141" customFormat="1" ht="15" customHeight="1">
      <c r="A1097" s="82"/>
      <c r="C1097" s="1168" t="s">
        <v>1575</v>
      </c>
      <c r="D1097" s="1168"/>
      <c r="E1097" s="1168"/>
      <c r="F1097" s="1168"/>
      <c r="G1097" s="1168"/>
      <c r="H1097" s="1168"/>
      <c r="I1097" s="1168"/>
      <c r="J1097" s="1168"/>
      <c r="K1097" s="1168"/>
      <c r="L1097" s="1168"/>
      <c r="M1097" s="1168"/>
      <c r="N1097" s="1168"/>
      <c r="O1097" s="1168"/>
      <c r="P1097" s="1168"/>
      <c r="Q1097" s="1168"/>
      <c r="R1097" s="1168"/>
      <c r="S1097" s="1168"/>
      <c r="T1097" s="1168"/>
      <c r="U1097" s="1168"/>
      <c r="V1097" s="52"/>
    </row>
    <row r="1098" spans="1:22" s="141" customFormat="1" ht="15" customHeight="1">
      <c r="A1098" s="82"/>
      <c r="B1098" s="774" t="s">
        <v>1221</v>
      </c>
      <c r="C1098" s="1111" t="str">
        <f>'4.NERACA'!C104</f>
        <v>Tugu Peringatan</v>
      </c>
      <c r="D1098" s="1111"/>
      <c r="E1098" s="1111"/>
      <c r="F1098" s="1111"/>
      <c r="G1098" s="1111"/>
      <c r="H1098" s="1111"/>
      <c r="I1098" s="1111"/>
      <c r="J1098" s="1111"/>
      <c r="K1098" s="1111"/>
      <c r="L1098" s="1111"/>
      <c r="M1098" s="1111"/>
      <c r="N1098" s="1111"/>
      <c r="O1098" s="1111"/>
      <c r="P1098" s="1111"/>
      <c r="Q1098" s="1111"/>
      <c r="R1098" s="1111"/>
      <c r="S1098" s="1111"/>
      <c r="T1098" s="1111"/>
      <c r="U1098" s="1111"/>
      <c r="V1098" s="52"/>
    </row>
    <row r="1099" spans="1:22" s="141" customFormat="1" ht="14.25" customHeight="1">
      <c r="A1099" s="82"/>
      <c r="C1099" s="1168" t="s">
        <v>1575</v>
      </c>
      <c r="D1099" s="1168"/>
      <c r="E1099" s="1168"/>
      <c r="F1099" s="1168"/>
      <c r="G1099" s="1168"/>
      <c r="H1099" s="1168"/>
      <c r="I1099" s="1168"/>
      <c r="J1099" s="1168"/>
      <c r="K1099" s="1168"/>
      <c r="L1099" s="1168"/>
      <c r="M1099" s="1168"/>
      <c r="N1099" s="1168"/>
      <c r="O1099" s="1168"/>
      <c r="P1099" s="1168"/>
      <c r="Q1099" s="1168"/>
      <c r="R1099" s="1168"/>
      <c r="S1099" s="1168"/>
      <c r="T1099" s="1168"/>
      <c r="U1099" s="1168"/>
      <c r="V1099" s="52"/>
    </row>
    <row r="1100" spans="1:22" s="141" customFormat="1" ht="15" customHeight="1">
      <c r="A1100" s="82"/>
      <c r="B1100" s="774" t="s">
        <v>1225</v>
      </c>
      <c r="C1100" s="1111" t="str">
        <f>'4.NERACA'!C105</f>
        <v>Candi</v>
      </c>
      <c r="D1100" s="1111"/>
      <c r="E1100" s="1111"/>
      <c r="F1100" s="1111"/>
      <c r="G1100" s="1111"/>
      <c r="H1100" s="1111"/>
      <c r="I1100" s="1111"/>
      <c r="J1100" s="1111"/>
      <c r="K1100" s="1111"/>
      <c r="L1100" s="1111"/>
      <c r="M1100" s="1111"/>
      <c r="N1100" s="1111"/>
      <c r="O1100" s="1111"/>
      <c r="P1100" s="1111"/>
      <c r="Q1100" s="1111"/>
      <c r="R1100" s="1111"/>
      <c r="S1100" s="1111"/>
      <c r="T1100" s="1111"/>
      <c r="U1100" s="1111"/>
      <c r="V1100" s="52"/>
    </row>
    <row r="1101" spans="1:22" s="141" customFormat="1" ht="14.25" customHeight="1">
      <c r="A1101" s="82"/>
      <c r="C1101" s="1168" t="s">
        <v>1575</v>
      </c>
      <c r="D1101" s="1168"/>
      <c r="E1101" s="1168"/>
      <c r="F1101" s="1168"/>
      <c r="G1101" s="1168"/>
      <c r="H1101" s="1168"/>
      <c r="I1101" s="1168"/>
      <c r="J1101" s="1168"/>
      <c r="K1101" s="1168"/>
      <c r="L1101" s="1168"/>
      <c r="M1101" s="1168"/>
      <c r="N1101" s="1168"/>
      <c r="O1101" s="1168"/>
      <c r="P1101" s="1168"/>
      <c r="Q1101" s="1168"/>
      <c r="R1101" s="1168"/>
      <c r="S1101" s="1168"/>
      <c r="T1101" s="1168"/>
      <c r="U1101" s="1168"/>
      <c r="V1101" s="52"/>
    </row>
    <row r="1102" spans="1:22" s="141" customFormat="1" ht="15" customHeight="1">
      <c r="A1102" s="82"/>
      <c r="B1102" s="774" t="s">
        <v>1409</v>
      </c>
      <c r="C1102" s="1111" t="str">
        <f>'4.NERACA'!C106</f>
        <v>Monumen/Bangunan Bersejarah</v>
      </c>
      <c r="D1102" s="1111"/>
      <c r="E1102" s="1111"/>
      <c r="F1102" s="1111"/>
      <c r="G1102" s="1111"/>
      <c r="H1102" s="1111"/>
      <c r="I1102" s="1111"/>
      <c r="J1102" s="1111"/>
      <c r="K1102" s="1111"/>
      <c r="L1102" s="1111"/>
      <c r="M1102" s="1111"/>
      <c r="N1102" s="1111"/>
      <c r="O1102" s="1111"/>
      <c r="P1102" s="1111"/>
      <c r="Q1102" s="1111"/>
      <c r="R1102" s="1111"/>
      <c r="S1102" s="1111"/>
      <c r="T1102" s="1111"/>
      <c r="U1102" s="1111"/>
      <c r="V1102" s="52"/>
    </row>
    <row r="1103" spans="1:22" s="141" customFormat="1" ht="15">
      <c r="A1103" s="82"/>
      <c r="C1103" s="1168" t="s">
        <v>1575</v>
      </c>
      <c r="D1103" s="1168"/>
      <c r="E1103" s="1168"/>
      <c r="F1103" s="1168"/>
      <c r="G1103" s="1168"/>
      <c r="H1103" s="1168"/>
      <c r="I1103" s="1168"/>
      <c r="J1103" s="1168"/>
      <c r="K1103" s="1168"/>
      <c r="L1103" s="1168"/>
      <c r="M1103" s="1168"/>
      <c r="N1103" s="1168"/>
      <c r="O1103" s="1168"/>
      <c r="P1103" s="1168"/>
      <c r="Q1103" s="1168"/>
      <c r="R1103" s="1168"/>
      <c r="S1103" s="1168"/>
      <c r="T1103" s="1168"/>
      <c r="U1103" s="1168"/>
      <c r="V1103" s="52"/>
    </row>
    <row r="1104" spans="1:22" s="141" customFormat="1" ht="15" customHeight="1">
      <c r="A1104" s="82"/>
      <c r="B1104" s="774" t="s">
        <v>1410</v>
      </c>
      <c r="C1104" s="1111" t="str">
        <f>'4.NERACA'!C107</f>
        <v>Tugu Titik Kontrol/Pasti</v>
      </c>
      <c r="D1104" s="1111"/>
      <c r="E1104" s="1111"/>
      <c r="F1104" s="1111"/>
      <c r="G1104" s="1111"/>
      <c r="H1104" s="1111"/>
      <c r="I1104" s="1111"/>
      <c r="J1104" s="1111"/>
      <c r="K1104" s="1111"/>
      <c r="L1104" s="1111"/>
      <c r="M1104" s="1111"/>
      <c r="N1104" s="1111"/>
      <c r="O1104" s="1111"/>
      <c r="P1104" s="1111"/>
      <c r="Q1104" s="1111"/>
      <c r="R1104" s="1111"/>
      <c r="S1104" s="1111"/>
      <c r="T1104" s="1111"/>
      <c r="U1104" s="1111"/>
      <c r="V1104" s="52"/>
    </row>
    <row r="1105" spans="1:22" s="141" customFormat="1" ht="18" customHeight="1">
      <c r="A1105" s="82"/>
      <c r="C1105" s="1168" t="s">
        <v>1575</v>
      </c>
      <c r="D1105" s="1168"/>
      <c r="E1105" s="1168"/>
      <c r="F1105" s="1168"/>
      <c r="G1105" s="1168"/>
      <c r="H1105" s="1168"/>
      <c r="I1105" s="1168"/>
      <c r="J1105" s="1168"/>
      <c r="K1105" s="1168"/>
      <c r="L1105" s="1168"/>
      <c r="M1105" s="1168"/>
      <c r="N1105" s="1168"/>
      <c r="O1105" s="1168"/>
      <c r="P1105" s="1168"/>
      <c r="Q1105" s="1168"/>
      <c r="R1105" s="1168"/>
      <c r="S1105" s="1168"/>
      <c r="T1105" s="1168"/>
      <c r="U1105" s="1168"/>
      <c r="V1105" s="52"/>
    </row>
    <row r="1106" spans="1:22" s="141" customFormat="1" ht="0.75" customHeight="1">
      <c r="A1106" s="81"/>
      <c r="B1106" s="10"/>
      <c r="C1106" s="708"/>
      <c r="D1106" s="708"/>
      <c r="E1106" s="708"/>
      <c r="F1106" s="708"/>
      <c r="G1106" s="708"/>
      <c r="H1106" s="708"/>
      <c r="I1106" s="708"/>
      <c r="J1106" s="708"/>
      <c r="K1106" s="708"/>
      <c r="L1106" s="708"/>
      <c r="M1106" s="708"/>
      <c r="N1106" s="708"/>
      <c r="O1106" s="708"/>
      <c r="P1106" s="708"/>
      <c r="Q1106" s="708"/>
      <c r="R1106" s="708"/>
      <c r="S1106" s="708"/>
      <c r="T1106" s="708"/>
      <c r="U1106" s="708"/>
      <c r="V1106" s="52"/>
    </row>
    <row r="1107" spans="1:22" s="141" customFormat="1" ht="15" customHeight="1">
      <c r="A1107" s="82"/>
      <c r="B1107" s="774" t="s">
        <v>1411</v>
      </c>
      <c r="C1107" s="1111" t="str">
        <f>'4.NERACA'!C108</f>
        <v>Rambu-Rambu</v>
      </c>
      <c r="D1107" s="1111"/>
      <c r="E1107" s="1111"/>
      <c r="F1107" s="1111"/>
      <c r="G1107" s="1111"/>
      <c r="H1107" s="1111"/>
      <c r="I1107" s="1111"/>
      <c r="J1107" s="1111"/>
      <c r="K1107" s="1111"/>
      <c r="L1107" s="1111"/>
      <c r="M1107" s="1111"/>
      <c r="N1107" s="1111"/>
      <c r="O1107" s="1111"/>
      <c r="P1107" s="1111"/>
      <c r="Q1107" s="1111"/>
      <c r="R1107" s="1111"/>
      <c r="S1107" s="1111"/>
      <c r="T1107" s="1111"/>
      <c r="U1107" s="1111"/>
      <c r="V1107" s="52"/>
    </row>
    <row r="1108" spans="1:22" s="141" customFormat="1" ht="15" customHeight="1">
      <c r="A1108" s="82"/>
      <c r="C1108" s="1168" t="s">
        <v>1575</v>
      </c>
      <c r="D1108" s="1168"/>
      <c r="E1108" s="1168"/>
      <c r="F1108" s="1168"/>
      <c r="G1108" s="1168"/>
      <c r="H1108" s="1168"/>
      <c r="I1108" s="1168"/>
      <c r="J1108" s="1168"/>
      <c r="K1108" s="1168"/>
      <c r="L1108" s="1168"/>
      <c r="M1108" s="1168"/>
      <c r="N1108" s="1168"/>
      <c r="O1108" s="1168"/>
      <c r="P1108" s="1168"/>
      <c r="Q1108" s="1168"/>
      <c r="R1108" s="1168"/>
      <c r="S1108" s="1168"/>
      <c r="T1108" s="1168"/>
      <c r="U1108" s="1168"/>
      <c r="V1108" s="52"/>
    </row>
    <row r="1109" spans="1:22" s="141" customFormat="1" ht="1.5" customHeight="1">
      <c r="A1109" s="81"/>
      <c r="B1109" s="10"/>
      <c r="C1109" s="708"/>
      <c r="D1109" s="708"/>
      <c r="E1109" s="708"/>
      <c r="F1109" s="708"/>
      <c r="G1109" s="708"/>
      <c r="H1109" s="708"/>
      <c r="I1109" s="708"/>
      <c r="J1109" s="708"/>
      <c r="K1109" s="708"/>
      <c r="L1109" s="708"/>
      <c r="M1109" s="708"/>
      <c r="N1109" s="708"/>
      <c r="O1109" s="708"/>
      <c r="P1109" s="708"/>
      <c r="Q1109" s="708"/>
      <c r="R1109" s="708"/>
      <c r="S1109" s="708"/>
      <c r="T1109" s="708"/>
      <c r="U1109" s="708"/>
      <c r="V1109" s="52"/>
    </row>
    <row r="1110" spans="1:22" s="141" customFormat="1" ht="29.25" customHeight="1">
      <c r="A1110" s="81"/>
      <c r="B1110" s="1469" t="str">
        <f>"Rincian saldo Gedung dan Bangunan per "&amp;'2.ISIAN DATA SKPD'!D8&amp;" adalah sebagai berikut:"</f>
        <v>Rincian saldo Gedung dan Bangunan per 31 Desember 2017 adalah sebagai berikut:</v>
      </c>
      <c r="C1110" s="1469"/>
      <c r="D1110" s="1469"/>
      <c r="E1110" s="1469"/>
      <c r="F1110" s="1469"/>
      <c r="G1110" s="1469"/>
      <c r="H1110" s="1469"/>
      <c r="I1110" s="1469"/>
      <c r="J1110" s="1469"/>
      <c r="K1110" s="1469"/>
      <c r="L1110" s="1469"/>
      <c r="M1110" s="1469"/>
      <c r="N1110" s="1469"/>
      <c r="O1110" s="1469"/>
      <c r="P1110" s="1469"/>
      <c r="Q1110" s="1469"/>
      <c r="R1110" s="1469"/>
      <c r="S1110" s="1469"/>
      <c r="T1110" s="1469"/>
      <c r="U1110" s="1469"/>
      <c r="V1110" s="52"/>
    </row>
    <row r="1111" spans="1:22" s="141" customFormat="1" ht="3.75" customHeight="1">
      <c r="A1111" s="81"/>
      <c r="B1111" s="776"/>
      <c r="C1111" s="776"/>
      <c r="D1111" s="776"/>
      <c r="E1111" s="776"/>
      <c r="F1111" s="776"/>
      <c r="G1111" s="776"/>
      <c r="H1111" s="776"/>
      <c r="I1111" s="776"/>
      <c r="J1111" s="776"/>
      <c r="K1111" s="776"/>
      <c r="L1111" s="776"/>
      <c r="M1111" s="776"/>
      <c r="N1111" s="776"/>
      <c r="O1111" s="776"/>
      <c r="P1111" s="776"/>
      <c r="Q1111" s="776"/>
      <c r="R1111" s="776"/>
      <c r="S1111" s="776"/>
      <c r="T1111" s="776"/>
      <c r="U1111" s="776"/>
      <c r="V1111" s="52"/>
    </row>
    <row r="1112" spans="1:22" s="141" customFormat="1" ht="25.5" customHeight="1">
      <c r="A1112" s="81"/>
      <c r="B1112" s="780" t="s">
        <v>126</v>
      </c>
      <c r="C1112" s="1126" t="s">
        <v>28</v>
      </c>
      <c r="D1112" s="1127"/>
      <c r="E1112" s="1127"/>
      <c r="F1112" s="1127"/>
      <c r="G1112" s="1127"/>
      <c r="H1112" s="1127"/>
      <c r="I1112" s="1127"/>
      <c r="J1112" s="1127"/>
      <c r="K1112" s="1127"/>
      <c r="L1112" s="1127"/>
      <c r="M1112" s="1127"/>
      <c r="N1112" s="1127"/>
      <c r="O1112" s="1128"/>
      <c r="P1112" s="1126" t="s">
        <v>135</v>
      </c>
      <c r="Q1112" s="1127"/>
      <c r="R1112" s="1127"/>
      <c r="S1112" s="1127"/>
      <c r="T1112" s="1127"/>
      <c r="U1112" s="1128"/>
      <c r="V1112" s="52"/>
    </row>
    <row r="1113" spans="1:22" s="141" customFormat="1" ht="15" customHeight="1">
      <c r="A1113" s="81"/>
      <c r="B1113" s="781">
        <v>1</v>
      </c>
      <c r="C1113" s="1411" t="str">
        <f>'4.NERACA'!C100</f>
        <v>Bangunan Gedung Tempat Kerja</v>
      </c>
      <c r="D1113" s="1412"/>
      <c r="E1113" s="1412"/>
      <c r="F1113" s="1412"/>
      <c r="G1113" s="1412"/>
      <c r="H1113" s="1412"/>
      <c r="I1113" s="1412"/>
      <c r="J1113" s="1412"/>
      <c r="K1113" s="1412"/>
      <c r="L1113" s="1412"/>
      <c r="M1113" s="1412"/>
      <c r="N1113" s="1412"/>
      <c r="O1113" s="1413"/>
      <c r="P1113" s="1158">
        <f>'4.NERACA'!I100</f>
        <v>2133142350</v>
      </c>
      <c r="Q1113" s="1159"/>
      <c r="R1113" s="1159"/>
      <c r="S1113" s="1159"/>
      <c r="T1113" s="1159"/>
      <c r="U1113" s="1160"/>
      <c r="V1113" s="52"/>
    </row>
    <row r="1114" spans="1:22" s="141" customFormat="1" ht="15" customHeight="1">
      <c r="A1114" s="81"/>
      <c r="B1114" s="781">
        <v>2</v>
      </c>
      <c r="C1114" s="1411" t="str">
        <f>'4.NERACA'!C101</f>
        <v>Bangunan Gedung Tempat Tinggal</v>
      </c>
      <c r="D1114" s="1412"/>
      <c r="E1114" s="1412"/>
      <c r="F1114" s="1412"/>
      <c r="G1114" s="1412"/>
      <c r="H1114" s="1412"/>
      <c r="I1114" s="1412"/>
      <c r="J1114" s="1412"/>
      <c r="K1114" s="1412"/>
      <c r="L1114" s="1412"/>
      <c r="M1114" s="1412"/>
      <c r="N1114" s="1412"/>
      <c r="O1114" s="1413"/>
      <c r="P1114" s="1158">
        <f>'4.NERACA'!I101</f>
        <v>261586000</v>
      </c>
      <c r="Q1114" s="1159"/>
      <c r="R1114" s="1159"/>
      <c r="S1114" s="1159"/>
      <c r="T1114" s="1159"/>
      <c r="U1114" s="1160"/>
      <c r="V1114" s="52"/>
    </row>
    <row r="1115" spans="1:22" s="141" customFormat="1" ht="15" customHeight="1">
      <c r="A1115" s="81"/>
      <c r="B1115" s="781">
        <v>3</v>
      </c>
      <c r="C1115" s="1411" t="str">
        <f>'4.NERACA'!C102</f>
        <v>Bangunan Menara</v>
      </c>
      <c r="D1115" s="1412"/>
      <c r="E1115" s="1412"/>
      <c r="F1115" s="1412"/>
      <c r="G1115" s="1412"/>
      <c r="H1115" s="1412"/>
      <c r="I1115" s="1412"/>
      <c r="J1115" s="1412"/>
      <c r="K1115" s="1412"/>
      <c r="L1115" s="1412"/>
      <c r="M1115" s="1412"/>
      <c r="N1115" s="1412"/>
      <c r="O1115" s="1413"/>
      <c r="P1115" s="1158">
        <f>'4.NERACA'!I102</f>
        <v>0</v>
      </c>
      <c r="Q1115" s="1159"/>
      <c r="R1115" s="1159"/>
      <c r="S1115" s="1159"/>
      <c r="T1115" s="1159"/>
      <c r="U1115" s="1160"/>
      <c r="V1115" s="52"/>
    </row>
    <row r="1116" spans="1:22" s="141" customFormat="1" ht="15" customHeight="1">
      <c r="A1116" s="81"/>
      <c r="B1116" s="781">
        <v>4</v>
      </c>
      <c r="C1116" s="1411" t="str">
        <f>'4.NERACA'!C103</f>
        <v>Bangunan Bersejarah</v>
      </c>
      <c r="D1116" s="1412"/>
      <c r="E1116" s="1412"/>
      <c r="F1116" s="1412"/>
      <c r="G1116" s="1412"/>
      <c r="H1116" s="1412"/>
      <c r="I1116" s="1412"/>
      <c r="J1116" s="1412"/>
      <c r="K1116" s="1412"/>
      <c r="L1116" s="1412"/>
      <c r="M1116" s="1412"/>
      <c r="N1116" s="1412"/>
      <c r="O1116" s="1413"/>
      <c r="P1116" s="1158">
        <f>'4.NERACA'!I103</f>
        <v>0</v>
      </c>
      <c r="Q1116" s="1159"/>
      <c r="R1116" s="1159"/>
      <c r="S1116" s="1159"/>
      <c r="T1116" s="1159"/>
      <c r="U1116" s="1160"/>
      <c r="V1116" s="52"/>
    </row>
    <row r="1117" spans="1:22" s="141" customFormat="1" ht="15" customHeight="1">
      <c r="A1117" s="81"/>
      <c r="B1117" s="781">
        <v>5</v>
      </c>
      <c r="C1117" s="1411" t="str">
        <f>'4.NERACA'!C104</f>
        <v>Tugu Peringatan</v>
      </c>
      <c r="D1117" s="1412"/>
      <c r="E1117" s="1412"/>
      <c r="F1117" s="1412"/>
      <c r="G1117" s="1412"/>
      <c r="H1117" s="1412"/>
      <c r="I1117" s="1412"/>
      <c r="J1117" s="1412"/>
      <c r="K1117" s="1412"/>
      <c r="L1117" s="1412"/>
      <c r="M1117" s="1412"/>
      <c r="N1117" s="1412"/>
      <c r="O1117" s="1413"/>
      <c r="P1117" s="1158">
        <f>'4.NERACA'!I104</f>
        <v>0</v>
      </c>
      <c r="Q1117" s="1159"/>
      <c r="R1117" s="1159"/>
      <c r="S1117" s="1159"/>
      <c r="T1117" s="1159"/>
      <c r="U1117" s="1160"/>
      <c r="V1117" s="52"/>
    </row>
    <row r="1118" spans="1:22" s="141" customFormat="1" ht="13.5" customHeight="1">
      <c r="A1118" s="81"/>
      <c r="B1118" s="781">
        <v>6</v>
      </c>
      <c r="C1118" s="1411" t="str">
        <f>'4.NERACA'!C105</f>
        <v>Candi</v>
      </c>
      <c r="D1118" s="1412"/>
      <c r="E1118" s="1412"/>
      <c r="F1118" s="1412"/>
      <c r="G1118" s="1412"/>
      <c r="H1118" s="1412"/>
      <c r="I1118" s="1412"/>
      <c r="J1118" s="1412"/>
      <c r="K1118" s="1412"/>
      <c r="L1118" s="1412"/>
      <c r="M1118" s="1412"/>
      <c r="N1118" s="1412"/>
      <c r="O1118" s="1413"/>
      <c r="P1118" s="1158">
        <f>'4.NERACA'!I105</f>
        <v>0</v>
      </c>
      <c r="Q1118" s="1159"/>
      <c r="R1118" s="1159"/>
      <c r="S1118" s="1159"/>
      <c r="T1118" s="1159"/>
      <c r="U1118" s="1160"/>
      <c r="V1118" s="52"/>
    </row>
    <row r="1119" spans="1:22" s="141" customFormat="1" ht="15" customHeight="1">
      <c r="A1119" s="81"/>
      <c r="B1119" s="781">
        <v>7</v>
      </c>
      <c r="C1119" s="1411" t="str">
        <f>'4.NERACA'!C106</f>
        <v>Monumen/Bangunan Bersejarah</v>
      </c>
      <c r="D1119" s="1412"/>
      <c r="E1119" s="1412"/>
      <c r="F1119" s="1412"/>
      <c r="G1119" s="1412"/>
      <c r="H1119" s="1412"/>
      <c r="I1119" s="1412"/>
      <c r="J1119" s="1412"/>
      <c r="K1119" s="1412"/>
      <c r="L1119" s="1412"/>
      <c r="M1119" s="1412"/>
      <c r="N1119" s="1412"/>
      <c r="O1119" s="1413"/>
      <c r="P1119" s="1158">
        <f>'4.NERACA'!I106</f>
        <v>0</v>
      </c>
      <c r="Q1119" s="1159"/>
      <c r="R1119" s="1159"/>
      <c r="S1119" s="1159"/>
      <c r="T1119" s="1159"/>
      <c r="U1119" s="1160"/>
      <c r="V1119" s="52"/>
    </row>
    <row r="1120" spans="1:22" s="141" customFormat="1" ht="15.75" customHeight="1">
      <c r="A1120" s="81"/>
      <c r="B1120" s="781">
        <v>8</v>
      </c>
      <c r="C1120" s="1411" t="str">
        <f>'4.NERACA'!C107</f>
        <v>Tugu Titik Kontrol/Pasti</v>
      </c>
      <c r="D1120" s="1412"/>
      <c r="E1120" s="1412"/>
      <c r="F1120" s="1412"/>
      <c r="G1120" s="1412"/>
      <c r="H1120" s="1412"/>
      <c r="I1120" s="1412"/>
      <c r="J1120" s="1412"/>
      <c r="K1120" s="1412"/>
      <c r="L1120" s="1412"/>
      <c r="M1120" s="1412"/>
      <c r="N1120" s="1412"/>
      <c r="O1120" s="1413"/>
      <c r="P1120" s="1158">
        <f>'4.NERACA'!I107</f>
        <v>0</v>
      </c>
      <c r="Q1120" s="1159"/>
      <c r="R1120" s="1159"/>
      <c r="S1120" s="1159"/>
      <c r="T1120" s="1159"/>
      <c r="U1120" s="1160"/>
      <c r="V1120" s="52"/>
    </row>
    <row r="1121" spans="1:22" s="141" customFormat="1" ht="12.75" customHeight="1">
      <c r="A1121" s="81"/>
      <c r="B1121" s="781">
        <v>9</v>
      </c>
      <c r="C1121" s="1411" t="str">
        <f>'4.NERACA'!C108</f>
        <v>Rambu-Rambu</v>
      </c>
      <c r="D1121" s="1412"/>
      <c r="E1121" s="1412"/>
      <c r="F1121" s="1412"/>
      <c r="G1121" s="1412"/>
      <c r="H1121" s="1412"/>
      <c r="I1121" s="1412"/>
      <c r="J1121" s="1412"/>
      <c r="K1121" s="1412"/>
      <c r="L1121" s="1412"/>
      <c r="M1121" s="1412"/>
      <c r="N1121" s="1412"/>
      <c r="O1121" s="1413"/>
      <c r="P1121" s="1158">
        <f>'4.NERACA'!I108</f>
        <v>0</v>
      </c>
      <c r="Q1121" s="1159"/>
      <c r="R1121" s="1159"/>
      <c r="S1121" s="1159"/>
      <c r="T1121" s="1159"/>
      <c r="U1121" s="1160"/>
      <c r="V1121" s="52"/>
    </row>
    <row r="1122" spans="1:22" s="141" customFormat="1" ht="12.75" customHeight="1">
      <c r="A1122" s="81"/>
      <c r="B1122" s="1463" t="s">
        <v>10</v>
      </c>
      <c r="C1122" s="1464"/>
      <c r="D1122" s="1464"/>
      <c r="E1122" s="1464"/>
      <c r="F1122" s="1464"/>
      <c r="G1122" s="1464"/>
      <c r="H1122" s="1464"/>
      <c r="I1122" s="1464"/>
      <c r="J1122" s="1464"/>
      <c r="K1122" s="1464"/>
      <c r="L1122" s="1464"/>
      <c r="M1122" s="1464"/>
      <c r="N1122" s="1464"/>
      <c r="O1122" s="1465"/>
      <c r="P1122" s="1460">
        <f>SUM(P1113:U1121)</f>
        <v>2394728350</v>
      </c>
      <c r="Q1122" s="1461"/>
      <c r="R1122" s="1461"/>
      <c r="S1122" s="1461"/>
      <c r="T1122" s="1461"/>
      <c r="U1122" s="1462"/>
      <c r="V1122" s="52"/>
    </row>
    <row r="1123" spans="1:22" s="141" customFormat="1" ht="6" customHeight="1">
      <c r="A1123" s="81"/>
      <c r="B1123" s="10"/>
      <c r="C1123" s="708"/>
      <c r="D1123" s="708"/>
      <c r="E1123" s="708"/>
      <c r="F1123" s="708"/>
      <c r="G1123" s="708"/>
      <c r="H1123" s="708"/>
      <c r="I1123" s="708"/>
      <c r="J1123" s="708"/>
      <c r="K1123" s="708"/>
      <c r="L1123" s="708"/>
      <c r="M1123" s="708"/>
      <c r="N1123" s="708"/>
      <c r="O1123" s="708"/>
      <c r="P1123" s="708"/>
      <c r="Q1123" s="708"/>
      <c r="R1123" s="708"/>
      <c r="S1123" s="708"/>
      <c r="T1123" s="708"/>
      <c r="U1123" s="708"/>
      <c r="V1123" s="52"/>
    </row>
    <row r="1124" spans="1:22" s="141" customFormat="1" ht="30.75" customHeight="1">
      <c r="A1124" s="82"/>
      <c r="B1124" s="1456" t="s">
        <v>136</v>
      </c>
      <c r="C1124" s="1456"/>
      <c r="D1124" s="1456"/>
      <c r="E1124" s="1456"/>
      <c r="F1124" s="1456"/>
      <c r="G1124" s="1456"/>
      <c r="H1124" s="1456"/>
      <c r="I1124" s="1456"/>
      <c r="J1124" s="1456"/>
      <c r="K1124" s="1456"/>
      <c r="L1124" s="1456"/>
      <c r="M1124" s="1456"/>
      <c r="N1124" s="1456"/>
      <c r="O1124" s="1456"/>
      <c r="P1124" s="1456"/>
      <c r="Q1124" s="1456"/>
      <c r="R1124" s="1456"/>
      <c r="S1124" s="1456"/>
      <c r="T1124" s="1456"/>
      <c r="U1124" s="1456"/>
      <c r="V1124" s="52"/>
    </row>
    <row r="1125" spans="1:22" s="141" customFormat="1" ht="6" customHeight="1">
      <c r="A1125" s="82"/>
      <c r="B1125" s="37"/>
      <c r="C1125" s="37"/>
      <c r="D1125" s="37"/>
      <c r="E1125" s="37"/>
      <c r="F1125" s="37"/>
      <c r="G1125" s="37"/>
      <c r="H1125" s="37"/>
      <c r="I1125" s="37"/>
      <c r="J1125" s="37"/>
      <c r="K1125" s="37"/>
      <c r="L1125" s="37"/>
      <c r="M1125" s="37"/>
      <c r="N1125" s="37"/>
      <c r="O1125" s="37"/>
      <c r="P1125" s="37"/>
      <c r="Q1125" s="37"/>
      <c r="R1125" s="37"/>
      <c r="S1125" s="37"/>
      <c r="T1125" s="654"/>
      <c r="U1125" s="654"/>
      <c r="V1125" s="52"/>
    </row>
    <row r="1126" spans="1:22" s="141" customFormat="1" ht="15.75" customHeight="1">
      <c r="A1126" s="1678"/>
      <c r="B1126" s="782" t="s">
        <v>788</v>
      </c>
      <c r="C1126" s="1137" t="s">
        <v>208</v>
      </c>
      <c r="D1126" s="1137"/>
      <c r="E1126" s="1137"/>
      <c r="F1126" s="1137"/>
      <c r="G1126" s="1137"/>
      <c r="H1126" s="1137"/>
      <c r="I1126" s="1137"/>
      <c r="J1126" s="1137"/>
      <c r="K1126" s="1137"/>
      <c r="L1126" s="1137"/>
      <c r="M1126" s="1137"/>
      <c r="N1126" s="1137"/>
      <c r="O1126" s="1137"/>
      <c r="P1126" s="1137"/>
      <c r="Q1126" s="1137"/>
      <c r="R1126" s="1137"/>
      <c r="S1126" s="1137"/>
      <c r="T1126" s="1137"/>
      <c r="V1126" s="52"/>
    </row>
    <row r="1127" spans="1:22" s="141" customFormat="1" ht="60" customHeight="1">
      <c r="A1127" s="1678"/>
      <c r="C1127" s="1091" t="str">
        <f>"Saldo "&amp;C1126&amp;" per "&amp;'2.ISIAN DATA SKPD'!D8&amp;" dan "&amp;'2.ISIAN DATA SKPD'!D12&amp;" adalah masing-masing sebesar Rp. "&amp;FIXED(R1132)&amp;" dan Rp. "&amp;FIXED(B1132)&amp;" mengalami kenaikan/penurunan sebesar Rp. "&amp;FIXED(AC1132)&amp;" atau sebesar "&amp;FIXED(Y1132)&amp;"% dari tahun "&amp;'2.ISIAN DATA SKPD'!D12&amp;"."</f>
        <v>Saldo Jalan, Jaringan dan Irigasi   per 31 Desember 2017 dan 2016 adalah masing-masing sebesar Rp. 7,010,631,086.00 dan Rp. 4,885,308,050.00 mengalami kenaikan/penurunan sebesar Rp. 2,125,323,036.00 atau sebesar 43.50% dari tahun 2016.</v>
      </c>
      <c r="D1127" s="1091"/>
      <c r="E1127" s="1091"/>
      <c r="F1127" s="1091"/>
      <c r="G1127" s="1091"/>
      <c r="H1127" s="1091"/>
      <c r="I1127" s="1091"/>
      <c r="J1127" s="1091"/>
      <c r="K1127" s="1091"/>
      <c r="L1127" s="1091"/>
      <c r="M1127" s="1091"/>
      <c r="N1127" s="1091"/>
      <c r="O1127" s="1091"/>
      <c r="P1127" s="1091"/>
      <c r="Q1127" s="1091"/>
      <c r="R1127" s="1091"/>
      <c r="S1127" s="1091"/>
      <c r="T1127" s="1091"/>
      <c r="U1127" s="1091"/>
      <c r="V1127" s="52"/>
    </row>
    <row r="1128" spans="1:22" s="141" customFormat="1" ht="75" customHeight="1">
      <c r="A1128" s="1678"/>
      <c r="C1128" s="1091" t="s">
        <v>137</v>
      </c>
      <c r="D1128" s="1091"/>
      <c r="E1128" s="1091"/>
      <c r="F1128" s="1091"/>
      <c r="G1128" s="1091"/>
      <c r="H1128" s="1091"/>
      <c r="I1128" s="1091"/>
      <c r="J1128" s="1091"/>
      <c r="K1128" s="1091"/>
      <c r="L1128" s="1091"/>
      <c r="M1128" s="1091"/>
      <c r="N1128" s="1091"/>
      <c r="O1128" s="1091"/>
      <c r="P1128" s="1091"/>
      <c r="Q1128" s="1091"/>
      <c r="R1128" s="1091"/>
      <c r="S1128" s="1091"/>
      <c r="T1128" s="1091"/>
      <c r="U1128" s="1091"/>
      <c r="V1128" s="52"/>
    </row>
    <row r="1129" spans="1:22" s="141" customFormat="1" ht="9" customHeight="1">
      <c r="A1129" s="778"/>
      <c r="C1129" s="702"/>
      <c r="D1129" s="702"/>
      <c r="E1129" s="702"/>
      <c r="F1129" s="702"/>
      <c r="G1129" s="702"/>
      <c r="H1129" s="702"/>
      <c r="I1129" s="702"/>
      <c r="J1129" s="702"/>
      <c r="K1129" s="702"/>
      <c r="L1129" s="702"/>
      <c r="M1129" s="702"/>
      <c r="N1129" s="702"/>
      <c r="O1129" s="702"/>
      <c r="P1129" s="702"/>
      <c r="Q1129" s="702"/>
      <c r="R1129" s="702"/>
      <c r="S1129" s="702"/>
      <c r="T1129" s="702"/>
      <c r="U1129" s="702"/>
      <c r="V1129" s="52"/>
    </row>
    <row r="1130" spans="1:22" s="141" customFormat="1" ht="16.5" customHeight="1">
      <c r="A1130" s="1156" t="s">
        <v>9</v>
      </c>
      <c r="B1130" s="1169" t="s">
        <v>762</v>
      </c>
      <c r="C1130" s="1169"/>
      <c r="D1130" s="1169"/>
      <c r="E1130" s="1169"/>
      <c r="F1130" s="1178" t="s">
        <v>190</v>
      </c>
      <c r="G1130" s="1178"/>
      <c r="H1130" s="1178"/>
      <c r="I1130" s="1178"/>
      <c r="J1130" s="1178"/>
      <c r="K1130" s="1178"/>
      <c r="L1130" s="1178" t="s">
        <v>761</v>
      </c>
      <c r="M1130" s="1178"/>
      <c r="N1130" s="1178"/>
      <c r="O1130" s="1178"/>
      <c r="P1130" s="1178"/>
      <c r="Q1130" s="1178"/>
      <c r="R1130" s="1169" t="s">
        <v>763</v>
      </c>
      <c r="S1130" s="1169"/>
      <c r="T1130" s="1169"/>
      <c r="U1130" s="1169"/>
      <c r="V1130" s="52"/>
    </row>
    <row r="1131" spans="1:32" s="141" customFormat="1" ht="15" customHeight="1">
      <c r="A1131" s="1157"/>
      <c r="B1131" s="1466">
        <v>2016</v>
      </c>
      <c r="C1131" s="1467"/>
      <c r="D1131" s="1467"/>
      <c r="E1131" s="1467"/>
      <c r="F1131" s="1169" t="s">
        <v>419</v>
      </c>
      <c r="G1131" s="1169"/>
      <c r="H1131" s="1169"/>
      <c r="I1131" s="1169" t="s">
        <v>420</v>
      </c>
      <c r="J1131" s="1169"/>
      <c r="K1131" s="1169"/>
      <c r="L1131" s="1169" t="s">
        <v>419</v>
      </c>
      <c r="M1131" s="1169"/>
      <c r="N1131" s="1169"/>
      <c r="O1131" s="1170" t="s">
        <v>420</v>
      </c>
      <c r="P1131" s="1170"/>
      <c r="Q1131" s="1170"/>
      <c r="R1131" s="1173">
        <v>2017</v>
      </c>
      <c r="S1131" s="1174"/>
      <c r="T1131" s="1174"/>
      <c r="U1131" s="1175"/>
      <c r="V1131" s="1074"/>
      <c r="W1131" s="1073"/>
      <c r="X1131" s="1073"/>
      <c r="Y1131" s="1045" t="s">
        <v>1677</v>
      </c>
      <c r="Z1131" s="1073"/>
      <c r="AA1131" s="1073"/>
      <c r="AB1131" s="1073"/>
      <c r="AC1131" s="1085" t="s">
        <v>1676</v>
      </c>
      <c r="AD1131" s="1086"/>
      <c r="AE1131" s="1086"/>
      <c r="AF1131" s="1086"/>
    </row>
    <row r="1132" spans="1:32" s="141" customFormat="1" ht="30" customHeight="1">
      <c r="A1132" s="824" t="str">
        <f>C1126</f>
        <v>Jalan, Jaringan dan Irigasi  </v>
      </c>
      <c r="B1132" s="1459">
        <f>'4.NERACA'!D109</f>
        <v>4885308050</v>
      </c>
      <c r="C1132" s="1459"/>
      <c r="D1132" s="1459"/>
      <c r="E1132" s="1459"/>
      <c r="F1132" s="1459">
        <f>'4.NERACA'!E109</f>
        <v>0</v>
      </c>
      <c r="G1132" s="1459"/>
      <c r="H1132" s="1459"/>
      <c r="I1132" s="1459">
        <f>'4.NERACA'!F109</f>
        <v>0</v>
      </c>
      <c r="J1132" s="1459"/>
      <c r="K1132" s="1459"/>
      <c r="L1132" s="1457">
        <f>'4.NERACA'!G109</f>
        <v>6066669600</v>
      </c>
      <c r="M1132" s="1457"/>
      <c r="N1132" s="1457"/>
      <c r="O1132" s="1458">
        <f>'4.NERACA'!H109</f>
        <v>3941346564</v>
      </c>
      <c r="P1132" s="1458"/>
      <c r="Q1132" s="1458"/>
      <c r="R1132" s="1458">
        <f>B1132+F1132-I1132+L1132-O1132</f>
        <v>7010631086</v>
      </c>
      <c r="S1132" s="1458"/>
      <c r="T1132" s="1458"/>
      <c r="U1132" s="1458"/>
      <c r="V1132" s="1072"/>
      <c r="W1132" s="1073"/>
      <c r="X1132" s="1073"/>
      <c r="Y1132" s="1045">
        <f>(R1132-B1132)/B1132*100</f>
        <v>43.504381182267515</v>
      </c>
      <c r="Z1132" s="1073"/>
      <c r="AA1132" s="1073"/>
      <c r="AB1132" s="1073"/>
      <c r="AC1132" s="1045">
        <f>R1132-B1132</f>
        <v>2125323036</v>
      </c>
      <c r="AD1132" s="1046"/>
      <c r="AE1132" s="1046"/>
      <c r="AF1132" s="1046"/>
    </row>
    <row r="1133" spans="1:22" s="141" customFormat="1" ht="15" customHeight="1">
      <c r="A1133" s="82"/>
      <c r="B1133" s="1145" t="s">
        <v>764</v>
      </c>
      <c r="C1133" s="1145"/>
      <c r="D1133" s="1145"/>
      <c r="E1133" s="1145"/>
      <c r="F1133" s="1145"/>
      <c r="G1133" s="1145"/>
      <c r="H1133" s="1145"/>
      <c r="I1133" s="1145"/>
      <c r="J1133" s="1145"/>
      <c r="K1133" s="1145"/>
      <c r="L1133" s="1145"/>
      <c r="M1133" s="1145"/>
      <c r="N1133" s="1468"/>
      <c r="O1133" s="1468"/>
      <c r="P1133" s="1468"/>
      <c r="Q1133" s="1468"/>
      <c r="R1133" s="1468"/>
      <c r="S1133" s="1468"/>
      <c r="T1133" s="1468"/>
      <c r="U1133" s="1468"/>
      <c r="V1133" s="52"/>
    </row>
    <row r="1134" spans="1:22" s="141" customFormat="1" ht="15" customHeight="1">
      <c r="A1134" s="82"/>
      <c r="B1134" s="774" t="s">
        <v>15</v>
      </c>
      <c r="C1134" s="1111" t="str">
        <f>'4.NERACA'!C110</f>
        <v>Jalan</v>
      </c>
      <c r="D1134" s="1111"/>
      <c r="E1134" s="1111"/>
      <c r="F1134" s="1111"/>
      <c r="G1134" s="1111"/>
      <c r="H1134" s="1111"/>
      <c r="I1134" s="1111"/>
      <c r="J1134" s="1111"/>
      <c r="K1134" s="1111"/>
      <c r="L1134" s="1111"/>
      <c r="M1134" s="1111"/>
      <c r="N1134" s="1111"/>
      <c r="O1134" s="1111"/>
      <c r="P1134" s="1111"/>
      <c r="Q1134" s="1111"/>
      <c r="R1134" s="1111"/>
      <c r="S1134" s="1111"/>
      <c r="T1134" s="1111"/>
      <c r="U1134" s="1111"/>
      <c r="V1134" s="52"/>
    </row>
    <row r="1135" spans="1:22" s="141" customFormat="1" ht="61.5" customHeight="1">
      <c r="A1135" s="82"/>
      <c r="C1135" s="1091" t="str">
        <f>"Nilai aset tetap berupa "&amp;C1134&amp;"  per "&amp;'2.ISIAN DATA SKPD'!D8&amp;" dan  "&amp;'2.ISIAN DATA SKPD'!D12&amp;" adalah sebesar Rp. "&amp;FIXED(R1139)&amp;" dan Rp. "&amp;FIXED(B1139)&amp;" mengalami kenaikan/penurunan sebesar Rp. "&amp;FIXED(AC1139)&amp;" atau sebesar "&amp;FIXED(Y1139)&amp;"% dari tahun "&amp;'2.ISIAN DATA SKPD'!D12&amp;"."</f>
        <v>Nilai aset tetap berupa Jalan  per 31 Desember 2017 dan  2016 adalah sebesar Rp. 5,814,625,536.00 dan Rp. 3,834,895,500.00 mengalami kenaikan/penurunan sebesar Rp. 1,979,730,036.00 atau sebesar 51.62% dari tahun 2016.</v>
      </c>
      <c r="D1135" s="1091"/>
      <c r="E1135" s="1091"/>
      <c r="F1135" s="1091"/>
      <c r="G1135" s="1091"/>
      <c r="H1135" s="1091"/>
      <c r="I1135" s="1091"/>
      <c r="J1135" s="1091"/>
      <c r="K1135" s="1091"/>
      <c r="L1135" s="1091"/>
      <c r="M1135" s="1091"/>
      <c r="N1135" s="1091"/>
      <c r="O1135" s="1091"/>
      <c r="P1135" s="1091"/>
      <c r="Q1135" s="1091"/>
      <c r="R1135" s="1091"/>
      <c r="S1135" s="1091"/>
      <c r="T1135" s="1091"/>
      <c r="U1135" s="1091"/>
      <c r="V1135" s="52"/>
    </row>
    <row r="1136" spans="1:22" s="141" customFormat="1" ht="18.75" customHeight="1">
      <c r="A1136" s="82"/>
      <c r="B1136" s="702"/>
      <c r="C1136" s="1091" t="str">
        <f>"Dengan mutasi  selama tahun "&amp;'2.ISIAN DATA SKPD'!D11&amp;" sebagai berikut :"</f>
        <v>Dengan mutasi  selama tahun 2017 sebagai berikut :</v>
      </c>
      <c r="D1136" s="1091"/>
      <c r="E1136" s="1091"/>
      <c r="F1136" s="1091"/>
      <c r="G1136" s="1091"/>
      <c r="H1136" s="1091"/>
      <c r="I1136" s="1091"/>
      <c r="J1136" s="1091"/>
      <c r="K1136" s="1091"/>
      <c r="L1136" s="1091"/>
      <c r="M1136" s="1091"/>
      <c r="N1136" s="1091"/>
      <c r="O1136" s="1091"/>
      <c r="P1136" s="1091"/>
      <c r="Q1136" s="1091"/>
      <c r="R1136" s="1091"/>
      <c r="S1136" s="1091"/>
      <c r="T1136" s="1091"/>
      <c r="U1136" s="1091"/>
      <c r="V1136" s="52"/>
    </row>
    <row r="1137" spans="1:22" s="141" customFormat="1" ht="15" customHeight="1">
      <c r="A1137" s="1156" t="s">
        <v>9</v>
      </c>
      <c r="B1137" s="1169" t="s">
        <v>762</v>
      </c>
      <c r="C1137" s="1169"/>
      <c r="D1137" s="1169"/>
      <c r="E1137" s="1169"/>
      <c r="F1137" s="1178" t="s">
        <v>190</v>
      </c>
      <c r="G1137" s="1178"/>
      <c r="H1137" s="1178"/>
      <c r="I1137" s="1178"/>
      <c r="J1137" s="1178"/>
      <c r="K1137" s="1178"/>
      <c r="L1137" s="1178" t="s">
        <v>761</v>
      </c>
      <c r="M1137" s="1178"/>
      <c r="N1137" s="1178"/>
      <c r="O1137" s="1178"/>
      <c r="P1137" s="1178"/>
      <c r="Q1137" s="1178"/>
      <c r="R1137" s="1173" t="s">
        <v>763</v>
      </c>
      <c r="S1137" s="1174"/>
      <c r="T1137" s="1174"/>
      <c r="U1137" s="1175"/>
      <c r="V1137" s="52"/>
    </row>
    <row r="1138" spans="1:32" s="141" customFormat="1" ht="15" customHeight="1">
      <c r="A1138" s="1157"/>
      <c r="B1138" s="1467">
        <f>B1131</f>
        <v>2016</v>
      </c>
      <c r="C1138" s="1467"/>
      <c r="D1138" s="1467"/>
      <c r="E1138" s="1467"/>
      <c r="F1138" s="1169" t="s">
        <v>419</v>
      </c>
      <c r="G1138" s="1169"/>
      <c r="H1138" s="1169"/>
      <c r="I1138" s="1169" t="s">
        <v>420</v>
      </c>
      <c r="J1138" s="1169"/>
      <c r="K1138" s="1169"/>
      <c r="L1138" s="1169" t="s">
        <v>419</v>
      </c>
      <c r="M1138" s="1169"/>
      <c r="N1138" s="1169"/>
      <c r="O1138" s="1170" t="s">
        <v>420</v>
      </c>
      <c r="P1138" s="1170"/>
      <c r="Q1138" s="1170"/>
      <c r="R1138" s="1173">
        <f>R1131</f>
        <v>2017</v>
      </c>
      <c r="S1138" s="1174"/>
      <c r="T1138" s="1174"/>
      <c r="U1138" s="1175"/>
      <c r="V1138" s="1074"/>
      <c r="W1138" s="1073"/>
      <c r="X1138" s="1073"/>
      <c r="Y1138" s="1045" t="s">
        <v>1677</v>
      </c>
      <c r="Z1138" s="1073"/>
      <c r="AA1138" s="1073"/>
      <c r="AB1138" s="1073"/>
      <c r="AC1138" s="1085" t="s">
        <v>1676</v>
      </c>
      <c r="AD1138" s="1086"/>
      <c r="AE1138" s="1086"/>
      <c r="AF1138" s="1086"/>
    </row>
    <row r="1139" spans="1:32" s="141" customFormat="1" ht="15" customHeight="1">
      <c r="A1139" s="821" t="str">
        <f>C1134</f>
        <v>Jalan</v>
      </c>
      <c r="B1139" s="1158">
        <f>'4.NERACA'!D110</f>
        <v>3834895500</v>
      </c>
      <c r="C1139" s="1159"/>
      <c r="D1139" s="1159"/>
      <c r="E1139" s="1160"/>
      <c r="F1139" s="1158">
        <f>'4.NERACA'!E110</f>
        <v>0</v>
      </c>
      <c r="G1139" s="1159"/>
      <c r="H1139" s="1160"/>
      <c r="I1139" s="1158">
        <f>'4.NERACA'!F110</f>
        <v>0</v>
      </c>
      <c r="J1139" s="1159"/>
      <c r="K1139" s="1160"/>
      <c r="L1139" s="1642">
        <f>'4.NERACA'!G110</f>
        <v>5921076600</v>
      </c>
      <c r="M1139" s="1643"/>
      <c r="N1139" s="1644"/>
      <c r="O1139" s="1642">
        <f>'4.NERACA'!H110</f>
        <v>3941346564</v>
      </c>
      <c r="P1139" s="1643"/>
      <c r="Q1139" s="1644"/>
      <c r="R1139" s="1639">
        <f>B1139+F1139-I1139+L1139-O1139</f>
        <v>5814625536</v>
      </c>
      <c r="S1139" s="1640"/>
      <c r="T1139" s="1640"/>
      <c r="U1139" s="1641"/>
      <c r="V1139" s="1072"/>
      <c r="W1139" s="1073"/>
      <c r="X1139" s="1073"/>
      <c r="Y1139" s="1045">
        <f>(R1139-B1139)/B1139*100</f>
        <v>51.62409343357596</v>
      </c>
      <c r="Z1139" s="1073"/>
      <c r="AA1139" s="1073"/>
      <c r="AB1139" s="1073"/>
      <c r="AC1139" s="1045">
        <f>R1139-B1139</f>
        <v>1979730036</v>
      </c>
      <c r="AD1139" s="1046"/>
      <c r="AE1139" s="1046"/>
      <c r="AF1139" s="1046"/>
    </row>
    <row r="1140" spans="1:22" s="141" customFormat="1" ht="15" customHeight="1">
      <c r="A1140" s="81"/>
      <c r="B1140" s="1337" t="s">
        <v>766</v>
      </c>
      <c r="C1140" s="1337"/>
      <c r="D1140" s="1337"/>
      <c r="E1140" s="1337"/>
      <c r="F1140" s="1337"/>
      <c r="G1140" s="1337"/>
      <c r="H1140" s="1337"/>
      <c r="I1140" s="1337"/>
      <c r="J1140" s="1337"/>
      <c r="K1140" s="1337"/>
      <c r="L1140" s="1337"/>
      <c r="M1140" s="1337"/>
      <c r="N1140" s="1337"/>
      <c r="O1140" s="1337"/>
      <c r="P1140" s="1337"/>
      <c r="Q1140" s="1337"/>
      <c r="R1140" s="1337"/>
      <c r="S1140" s="1337"/>
      <c r="T1140" s="1337"/>
      <c r="U1140" s="1337"/>
      <c r="V1140" s="52"/>
    </row>
    <row r="1141" spans="1:22" s="141" customFormat="1" ht="15" customHeight="1">
      <c r="A1141" s="81"/>
      <c r="B1141" s="629"/>
      <c r="C1141" s="1337" t="s">
        <v>1562</v>
      </c>
      <c r="D1141" s="1337"/>
      <c r="E1141" s="1337"/>
      <c r="F1141" s="1337"/>
      <c r="G1141" s="1337"/>
      <c r="H1141" s="1337"/>
      <c r="I1141" s="1337"/>
      <c r="J1141" s="1337"/>
      <c r="K1141" s="1337"/>
      <c r="L1141" s="1337"/>
      <c r="M1141" s="1337"/>
      <c r="N1141" s="1337"/>
      <c r="O1141" s="1337"/>
      <c r="P1141" s="1337"/>
      <c r="Q1141" s="1337"/>
      <c r="R1141" s="1337"/>
      <c r="S1141" s="1337"/>
      <c r="T1141" s="1337"/>
      <c r="U1141" s="1337"/>
      <c r="V1141" s="52"/>
    </row>
    <row r="1142" spans="1:22" s="141" customFormat="1" ht="45.75" customHeight="1">
      <c r="A1142" s="81"/>
      <c r="B1142" s="629"/>
      <c r="C1142" s="1168" t="str">
        <f>"Mutasi Debet sebesar Rp. "&amp;FIXED(F1139+L1139)&amp;" adalah hasil pengadaan barang tahun "&amp;'2.ISIAN DATA SKPD'!D11&amp;" dari belanja modal berupa  Belanja Modal Jalan ,Irigasi dan Jaringan - Pengadaan Jalan Kabupaten / Kota"</f>
        <v>Mutasi Debet sebesar Rp. 5,921,076,600.00 adalah hasil pengadaan barang tahun 2017 dari belanja modal berupa  Belanja Modal Jalan ,Irigasi dan Jaringan - Pengadaan Jalan Kabupaten / Kota</v>
      </c>
      <c r="D1142" s="1168"/>
      <c r="E1142" s="1168"/>
      <c r="F1142" s="1168"/>
      <c r="G1142" s="1168"/>
      <c r="H1142" s="1168"/>
      <c r="I1142" s="1168"/>
      <c r="J1142" s="1168"/>
      <c r="K1142" s="1168"/>
      <c r="L1142" s="1168"/>
      <c r="M1142" s="1168"/>
      <c r="N1142" s="1168"/>
      <c r="O1142" s="1168"/>
      <c r="P1142" s="1168"/>
      <c r="Q1142" s="1168"/>
      <c r="R1142" s="1168"/>
      <c r="S1142" s="1168"/>
      <c r="T1142" s="1168"/>
      <c r="U1142" s="1168"/>
      <c r="V1142" s="52"/>
    </row>
    <row r="1143" spans="1:22" s="141" customFormat="1" ht="15" customHeight="1">
      <c r="A1143" s="81"/>
      <c r="B1143" s="629"/>
      <c r="C1143" s="1337" t="s">
        <v>1563</v>
      </c>
      <c r="D1143" s="1337"/>
      <c r="E1143" s="1337"/>
      <c r="F1143" s="1337"/>
      <c r="G1143" s="1337"/>
      <c r="H1143" s="1337"/>
      <c r="I1143" s="1337"/>
      <c r="J1143" s="1337"/>
      <c r="K1143" s="1337"/>
      <c r="L1143" s="1337"/>
      <c r="M1143" s="1337"/>
      <c r="N1143" s="1337"/>
      <c r="O1143" s="1337"/>
      <c r="P1143" s="1337"/>
      <c r="Q1143" s="1337"/>
      <c r="R1143" s="1337"/>
      <c r="S1143" s="1337"/>
      <c r="T1143" s="1337"/>
      <c r="U1143" s="1337"/>
      <c r="V1143" s="52"/>
    </row>
    <row r="1144" spans="1:22" s="141" customFormat="1" ht="33" customHeight="1">
      <c r="A1144" s="81"/>
      <c r="B1144" s="10"/>
      <c r="C1144" s="1168" t="str">
        <f>"Mutasi Kredit Rp. "&amp;FIXED(I1139+O1139)&amp;" adalah penghapusan berupa MUTASI KE DPU PR senilai Rp 3.941.346.564 "</f>
        <v>Mutasi Kredit Rp. 3,941,346,564.00 adalah penghapusan berupa MUTASI KE DPU PR senilai Rp 3.941.346.564 </v>
      </c>
      <c r="D1144" s="1168"/>
      <c r="E1144" s="1168"/>
      <c r="F1144" s="1168"/>
      <c r="G1144" s="1168"/>
      <c r="H1144" s="1168"/>
      <c r="I1144" s="1168"/>
      <c r="J1144" s="1168"/>
      <c r="K1144" s="1168"/>
      <c r="L1144" s="1168"/>
      <c r="M1144" s="1168"/>
      <c r="N1144" s="1168"/>
      <c r="O1144" s="1168"/>
      <c r="P1144" s="1168"/>
      <c r="Q1144" s="1168"/>
      <c r="R1144" s="1168"/>
      <c r="S1144" s="1168"/>
      <c r="T1144" s="1168"/>
      <c r="U1144" s="1168"/>
      <c r="V1144" s="52"/>
    </row>
    <row r="1145" spans="1:22" s="141" customFormat="1" ht="15" customHeight="1">
      <c r="A1145" s="81"/>
      <c r="B1145" s="10"/>
      <c r="C1145" s="708"/>
      <c r="D1145" s="708"/>
      <c r="E1145" s="708"/>
      <c r="F1145" s="708"/>
      <c r="G1145" s="708"/>
      <c r="H1145" s="708"/>
      <c r="I1145" s="708"/>
      <c r="J1145" s="708"/>
      <c r="K1145" s="708"/>
      <c r="L1145" s="708"/>
      <c r="M1145" s="708"/>
      <c r="N1145" s="708"/>
      <c r="O1145" s="708"/>
      <c r="P1145" s="708"/>
      <c r="Q1145" s="708"/>
      <c r="R1145" s="708"/>
      <c r="S1145" s="708"/>
      <c r="T1145" s="708"/>
      <c r="U1145" s="708"/>
      <c r="V1145" s="52"/>
    </row>
    <row r="1146" spans="1:22" s="141" customFormat="1" ht="15" customHeight="1">
      <c r="A1146" s="82"/>
      <c r="B1146" s="774" t="s">
        <v>16</v>
      </c>
      <c r="C1146" s="1111" t="str">
        <f>'4.NERACA'!C111</f>
        <v>Jembatan</v>
      </c>
      <c r="D1146" s="1111"/>
      <c r="E1146" s="1111"/>
      <c r="F1146" s="1111"/>
      <c r="G1146" s="1111"/>
      <c r="H1146" s="1111"/>
      <c r="I1146" s="1111"/>
      <c r="J1146" s="1111"/>
      <c r="K1146" s="1111"/>
      <c r="L1146" s="1111"/>
      <c r="M1146" s="1111"/>
      <c r="N1146" s="1111"/>
      <c r="O1146" s="1111"/>
      <c r="P1146" s="1111"/>
      <c r="Q1146" s="1111"/>
      <c r="R1146" s="1111"/>
      <c r="S1146" s="1111"/>
      <c r="T1146" s="1111"/>
      <c r="U1146" s="1111"/>
      <c r="V1146" s="52"/>
    </row>
    <row r="1147" spans="1:22" s="141" customFormat="1" ht="57.75" customHeight="1">
      <c r="A1147" s="82"/>
      <c r="C1147" s="1091" t="str">
        <f>"Nilai aset tetap berupa "&amp;C1146&amp;"  per "&amp;'2.ISIAN DATA SKPD'!D8&amp;" dan  "&amp;'2.ISIAN DATA SKPD'!D12&amp;" adalah sebesar Rp. "&amp;FIXED(R1152)&amp;" dan Rp. "&amp;FIXED(B1152)&amp;" mengalami kenaikan/penurunan sebesar Rp. "&amp;FIXED(AC1152)&amp;" atau sebesar "&amp;FIXED(Y1152)&amp;"% dari tahun "&amp;'2.ISIAN DATA SKPD'!D12&amp;"."</f>
        <v>Nilai aset tetap berupa Jembatan  per 31 Desember 2017 dan  2016 adalah sebesar Rp. 23,750,000.00 dan Rp. 23,750,000.00 mengalami kenaikan/penurunan sebesar Rp. 0.00 atau sebesar 0.00% dari tahun 2016.</v>
      </c>
      <c r="D1147" s="1091"/>
      <c r="E1147" s="1091"/>
      <c r="F1147" s="1091"/>
      <c r="G1147" s="1091"/>
      <c r="H1147" s="1091"/>
      <c r="I1147" s="1091"/>
      <c r="J1147" s="1091"/>
      <c r="K1147" s="1091"/>
      <c r="L1147" s="1091"/>
      <c r="M1147" s="1091"/>
      <c r="N1147" s="1091"/>
      <c r="O1147" s="1091"/>
      <c r="P1147" s="1091"/>
      <c r="Q1147" s="1091"/>
      <c r="R1147" s="1091"/>
      <c r="S1147" s="1091"/>
      <c r="T1147" s="1091"/>
      <c r="U1147" s="1091"/>
      <c r="V1147" s="52"/>
    </row>
    <row r="1148" spans="1:22" s="141" customFormat="1" ht="15" customHeight="1">
      <c r="A1148" s="82"/>
      <c r="B1148" s="702"/>
      <c r="C1148" s="1091" t="str">
        <f>"Dengan mutasi  selama tahun "&amp;'2.ISIAN DATA SKPD'!D11&amp;" sebagai berikut :"</f>
        <v>Dengan mutasi  selama tahun 2017 sebagai berikut :</v>
      </c>
      <c r="D1148" s="1091"/>
      <c r="E1148" s="1091"/>
      <c r="F1148" s="1091"/>
      <c r="G1148" s="1091"/>
      <c r="H1148" s="1091"/>
      <c r="I1148" s="1091"/>
      <c r="J1148" s="1091"/>
      <c r="K1148" s="1091"/>
      <c r="L1148" s="1091"/>
      <c r="M1148" s="1091"/>
      <c r="N1148" s="1091"/>
      <c r="O1148" s="1091"/>
      <c r="P1148" s="1091"/>
      <c r="Q1148" s="1091"/>
      <c r="R1148" s="1091"/>
      <c r="S1148" s="1091"/>
      <c r="T1148" s="1091"/>
      <c r="U1148" s="1091"/>
      <c r="V1148" s="52"/>
    </row>
    <row r="1149" spans="1:22" s="141" customFormat="1" ht="5.25" customHeight="1">
      <c r="A1149" s="82"/>
      <c r="B1149" s="702"/>
      <c r="C1149" s="702"/>
      <c r="D1149" s="702"/>
      <c r="E1149" s="702"/>
      <c r="F1149" s="702"/>
      <c r="G1149" s="702"/>
      <c r="H1149" s="702"/>
      <c r="I1149" s="702"/>
      <c r="J1149" s="702"/>
      <c r="K1149" s="702"/>
      <c r="L1149" s="702"/>
      <c r="M1149" s="702"/>
      <c r="N1149" s="702"/>
      <c r="O1149" s="702"/>
      <c r="P1149" s="702"/>
      <c r="Q1149" s="702"/>
      <c r="R1149" s="702"/>
      <c r="S1149" s="702"/>
      <c r="T1149" s="702"/>
      <c r="U1149" s="702"/>
      <c r="V1149" s="52"/>
    </row>
    <row r="1150" spans="1:22" s="141" customFormat="1" ht="15" customHeight="1">
      <c r="A1150" s="1156" t="s">
        <v>9</v>
      </c>
      <c r="B1150" s="1169" t="s">
        <v>762</v>
      </c>
      <c r="C1150" s="1169"/>
      <c r="D1150" s="1169"/>
      <c r="E1150" s="1169"/>
      <c r="F1150" s="1178" t="s">
        <v>190</v>
      </c>
      <c r="G1150" s="1178"/>
      <c r="H1150" s="1178"/>
      <c r="I1150" s="1178"/>
      <c r="J1150" s="1178"/>
      <c r="K1150" s="1178"/>
      <c r="L1150" s="1178" t="s">
        <v>761</v>
      </c>
      <c r="M1150" s="1178"/>
      <c r="N1150" s="1178"/>
      <c r="O1150" s="1178"/>
      <c r="P1150" s="1178"/>
      <c r="Q1150" s="1178"/>
      <c r="R1150" s="1169" t="s">
        <v>763</v>
      </c>
      <c r="S1150" s="1169"/>
      <c r="T1150" s="1169"/>
      <c r="U1150" s="1169"/>
      <c r="V1150" s="52"/>
    </row>
    <row r="1151" spans="1:32" s="141" customFormat="1" ht="15" customHeight="1">
      <c r="A1151" s="1157"/>
      <c r="B1151" s="1466">
        <f>B1138</f>
        <v>2016</v>
      </c>
      <c r="C1151" s="1467"/>
      <c r="D1151" s="1467"/>
      <c r="E1151" s="1467"/>
      <c r="F1151" s="1169" t="s">
        <v>419</v>
      </c>
      <c r="G1151" s="1169"/>
      <c r="H1151" s="1169"/>
      <c r="I1151" s="1169" t="s">
        <v>420</v>
      </c>
      <c r="J1151" s="1169"/>
      <c r="K1151" s="1169"/>
      <c r="L1151" s="1169" t="s">
        <v>419</v>
      </c>
      <c r="M1151" s="1169"/>
      <c r="N1151" s="1169"/>
      <c r="O1151" s="1170" t="s">
        <v>420</v>
      </c>
      <c r="P1151" s="1170"/>
      <c r="Q1151" s="1170"/>
      <c r="R1151" s="1173">
        <f>R1138</f>
        <v>2017</v>
      </c>
      <c r="S1151" s="1174"/>
      <c r="T1151" s="1174"/>
      <c r="U1151" s="1175"/>
      <c r="V1151" s="1074"/>
      <c r="W1151" s="1073"/>
      <c r="X1151" s="1073"/>
      <c r="Y1151" s="1045" t="s">
        <v>1677</v>
      </c>
      <c r="Z1151" s="1073"/>
      <c r="AA1151" s="1073"/>
      <c r="AB1151" s="1073"/>
      <c r="AC1151" s="1085" t="s">
        <v>1676</v>
      </c>
      <c r="AD1151" s="1086"/>
      <c r="AE1151" s="1086"/>
      <c r="AF1151" s="1086"/>
    </row>
    <row r="1152" spans="1:32" s="141" customFormat="1" ht="17.25" customHeight="1">
      <c r="A1152" s="821" t="str">
        <f>C1146</f>
        <v>Jembatan</v>
      </c>
      <c r="B1152" s="1152">
        <f>'4.NERACA'!D111</f>
        <v>23750000</v>
      </c>
      <c r="C1152" s="1153"/>
      <c r="D1152" s="1153"/>
      <c r="E1152" s="1154"/>
      <c r="F1152" s="1152">
        <f>'4.NERACA'!E111</f>
        <v>0</v>
      </c>
      <c r="G1152" s="1153"/>
      <c r="H1152" s="1154"/>
      <c r="I1152" s="1152">
        <f>'4.NERACA'!F111</f>
        <v>0</v>
      </c>
      <c r="J1152" s="1153"/>
      <c r="K1152" s="1154"/>
      <c r="L1152" s="1152">
        <f>'4.NERACA'!G111</f>
        <v>0</v>
      </c>
      <c r="M1152" s="1153"/>
      <c r="N1152" s="1154"/>
      <c r="O1152" s="1152">
        <f>'4.NERACA'!H111</f>
        <v>0</v>
      </c>
      <c r="P1152" s="1153"/>
      <c r="Q1152" s="1154"/>
      <c r="R1152" s="1152">
        <f>B1152+F1152-I1152+L1152-O1152</f>
        <v>23750000</v>
      </c>
      <c r="S1152" s="1153"/>
      <c r="T1152" s="1153"/>
      <c r="U1152" s="1154"/>
      <c r="V1152" s="1072"/>
      <c r="W1152" s="1073"/>
      <c r="X1152" s="1073"/>
      <c r="Y1152" s="1045">
        <f>(R1152-B1152)/B1152*100</f>
        <v>0</v>
      </c>
      <c r="Z1152" s="1073"/>
      <c r="AA1152" s="1073"/>
      <c r="AB1152" s="1073"/>
      <c r="AC1152" s="1045">
        <f>R1152-B1152</f>
        <v>0</v>
      </c>
      <c r="AD1152" s="1046"/>
      <c r="AE1152" s="1046"/>
      <c r="AF1152" s="1046"/>
    </row>
    <row r="1153" spans="1:22" s="141" customFormat="1" ht="15" customHeight="1">
      <c r="A1153" s="81"/>
      <c r="B1153" s="1337" t="s">
        <v>766</v>
      </c>
      <c r="C1153" s="1337"/>
      <c r="D1153" s="1337"/>
      <c r="E1153" s="1337"/>
      <c r="F1153" s="1337"/>
      <c r="G1153" s="1337"/>
      <c r="H1153" s="1337"/>
      <c r="I1153" s="1337"/>
      <c r="J1153" s="1337"/>
      <c r="K1153" s="1337"/>
      <c r="L1153" s="1337"/>
      <c r="M1153" s="1337"/>
      <c r="N1153" s="1337"/>
      <c r="O1153" s="1337"/>
      <c r="P1153" s="1337"/>
      <c r="Q1153" s="1337"/>
      <c r="R1153" s="1337"/>
      <c r="S1153" s="1337"/>
      <c r="T1153" s="1337"/>
      <c r="U1153" s="1337"/>
      <c r="V1153" s="52"/>
    </row>
    <row r="1154" spans="1:22" s="141" customFormat="1" ht="15" customHeight="1">
      <c r="A1154" s="81"/>
      <c r="B1154" s="629"/>
      <c r="C1154" s="1337" t="s">
        <v>1562</v>
      </c>
      <c r="D1154" s="1337"/>
      <c r="E1154" s="1337"/>
      <c r="F1154" s="1337"/>
      <c r="G1154" s="1337"/>
      <c r="H1154" s="1337"/>
      <c r="I1154" s="1337"/>
      <c r="J1154" s="1337"/>
      <c r="K1154" s="1337"/>
      <c r="L1154" s="1337"/>
      <c r="M1154" s="1337"/>
      <c r="N1154" s="1337"/>
      <c r="O1154" s="1337"/>
      <c r="P1154" s="1337"/>
      <c r="Q1154" s="1337"/>
      <c r="R1154" s="1337"/>
      <c r="S1154" s="1337"/>
      <c r="T1154" s="1337"/>
      <c r="U1154" s="1337"/>
      <c r="V1154" s="52"/>
    </row>
    <row r="1155" spans="1:22" s="141" customFormat="1" ht="12.75" customHeight="1">
      <c r="A1155" s="81"/>
      <c r="B1155" s="629"/>
      <c r="C1155" s="1168" t="s">
        <v>1575</v>
      </c>
      <c r="D1155" s="1168"/>
      <c r="E1155" s="1168"/>
      <c r="F1155" s="1168"/>
      <c r="G1155" s="1168"/>
      <c r="H1155" s="1168"/>
      <c r="I1155" s="1168"/>
      <c r="J1155" s="1168"/>
      <c r="K1155" s="1168"/>
      <c r="L1155" s="1168"/>
      <c r="M1155" s="1168"/>
      <c r="N1155" s="1168"/>
      <c r="O1155" s="1168"/>
      <c r="P1155" s="1168"/>
      <c r="Q1155" s="1168"/>
      <c r="R1155" s="1168"/>
      <c r="S1155" s="1168"/>
      <c r="T1155" s="1168"/>
      <c r="U1155" s="1168"/>
      <c r="V1155" s="52"/>
    </row>
    <row r="1156" spans="1:22" s="141" customFormat="1" ht="15.75" customHeight="1">
      <c r="A1156" s="81"/>
      <c r="B1156" s="10"/>
      <c r="C1156" s="1168" t="s">
        <v>1563</v>
      </c>
      <c r="D1156" s="1168"/>
      <c r="E1156" s="1168"/>
      <c r="F1156" s="1168"/>
      <c r="G1156" s="1168"/>
      <c r="H1156" s="1168"/>
      <c r="I1156" s="1168"/>
      <c r="J1156" s="1168"/>
      <c r="K1156" s="1168"/>
      <c r="L1156" s="1168"/>
      <c r="M1156" s="1168"/>
      <c r="N1156" s="1168"/>
      <c r="O1156" s="1168"/>
      <c r="P1156" s="1168"/>
      <c r="Q1156" s="1168"/>
      <c r="R1156" s="1168"/>
      <c r="S1156" s="1168"/>
      <c r="T1156" s="1168"/>
      <c r="U1156" s="1168"/>
      <c r="V1156" s="52"/>
    </row>
    <row r="1157" spans="1:22" s="141" customFormat="1" ht="15">
      <c r="A1157" s="81"/>
      <c r="B1157" s="10"/>
      <c r="C1157" s="1168" t="s">
        <v>1575</v>
      </c>
      <c r="D1157" s="1168"/>
      <c r="E1157" s="1168"/>
      <c r="F1157" s="1168"/>
      <c r="G1157" s="1168"/>
      <c r="H1157" s="1168"/>
      <c r="I1157" s="1168"/>
      <c r="J1157" s="1168"/>
      <c r="K1157" s="1168"/>
      <c r="L1157" s="1168"/>
      <c r="M1157" s="1168"/>
      <c r="N1157" s="1168"/>
      <c r="O1157" s="1168"/>
      <c r="P1157" s="1168"/>
      <c r="Q1157" s="1168"/>
      <c r="R1157" s="1168"/>
      <c r="S1157" s="1168"/>
      <c r="T1157" s="1168"/>
      <c r="U1157" s="1168"/>
      <c r="V1157" s="52"/>
    </row>
    <row r="1158" spans="1:22" s="141" customFormat="1" ht="15" customHeight="1">
      <c r="A1158" s="82"/>
      <c r="B1158" s="774" t="s">
        <v>17</v>
      </c>
      <c r="C1158" s="1111" t="str">
        <f>'4.NERACA'!C112</f>
        <v>Bangunan Air Irigasi</v>
      </c>
      <c r="D1158" s="1111"/>
      <c r="E1158" s="1111"/>
      <c r="F1158" s="1111"/>
      <c r="G1158" s="1111"/>
      <c r="H1158" s="1111"/>
      <c r="I1158" s="1111"/>
      <c r="J1158" s="1111"/>
      <c r="K1158" s="1111"/>
      <c r="L1158" s="1111"/>
      <c r="M1158" s="1111"/>
      <c r="N1158" s="1111"/>
      <c r="O1158" s="1111"/>
      <c r="P1158" s="1111"/>
      <c r="Q1158" s="1111"/>
      <c r="R1158" s="1111"/>
      <c r="S1158" s="1111"/>
      <c r="T1158" s="1111"/>
      <c r="U1158" s="1111"/>
      <c r="V1158" s="52"/>
    </row>
    <row r="1159" spans="1:22" s="141" customFormat="1" ht="15" customHeight="1">
      <c r="A1159" s="82"/>
      <c r="C1159" s="1168" t="s">
        <v>1575</v>
      </c>
      <c r="D1159" s="1168"/>
      <c r="E1159" s="1168"/>
      <c r="F1159" s="1168"/>
      <c r="G1159" s="1168"/>
      <c r="H1159" s="1168"/>
      <c r="I1159" s="1168"/>
      <c r="J1159" s="1168"/>
      <c r="K1159" s="1168"/>
      <c r="L1159" s="1168"/>
      <c r="M1159" s="1168"/>
      <c r="N1159" s="1168"/>
      <c r="O1159" s="1168"/>
      <c r="P1159" s="1168"/>
      <c r="Q1159" s="1168"/>
      <c r="R1159" s="1168"/>
      <c r="S1159" s="1168"/>
      <c r="T1159" s="1168"/>
      <c r="U1159" s="1168"/>
      <c r="V1159" s="52"/>
    </row>
    <row r="1160" spans="1:22" s="141" customFormat="1" ht="9.75" customHeight="1">
      <c r="A1160" s="81"/>
      <c r="B1160" s="10"/>
      <c r="C1160" s="708"/>
      <c r="D1160" s="708"/>
      <c r="E1160" s="708"/>
      <c r="F1160" s="708"/>
      <c r="G1160" s="708"/>
      <c r="H1160" s="708"/>
      <c r="I1160" s="708"/>
      <c r="J1160" s="708"/>
      <c r="K1160" s="708"/>
      <c r="L1160" s="708"/>
      <c r="M1160" s="708"/>
      <c r="N1160" s="708"/>
      <c r="O1160" s="708"/>
      <c r="P1160" s="708"/>
      <c r="Q1160" s="708"/>
      <c r="R1160" s="708"/>
      <c r="S1160" s="708"/>
      <c r="T1160" s="708"/>
      <c r="U1160" s="708"/>
      <c r="V1160" s="52"/>
    </row>
    <row r="1161" spans="1:22" s="141" customFormat="1" ht="15" customHeight="1">
      <c r="A1161" s="82"/>
      <c r="B1161" s="774" t="s">
        <v>786</v>
      </c>
      <c r="C1161" s="1111" t="str">
        <f>'4.NERACA'!C113</f>
        <v>Bangunan Pengaman Sungai dan Penanggulangan Bencana Alam</v>
      </c>
      <c r="D1161" s="1111"/>
      <c r="E1161" s="1111"/>
      <c r="F1161" s="1111"/>
      <c r="G1161" s="1111"/>
      <c r="H1161" s="1111"/>
      <c r="I1161" s="1111"/>
      <c r="J1161" s="1111"/>
      <c r="K1161" s="1111"/>
      <c r="L1161" s="1111"/>
      <c r="M1161" s="1111"/>
      <c r="N1161" s="1111"/>
      <c r="O1161" s="1111"/>
      <c r="P1161" s="1111"/>
      <c r="Q1161" s="1111"/>
      <c r="R1161" s="1111"/>
      <c r="S1161" s="1111"/>
      <c r="T1161" s="1111"/>
      <c r="U1161" s="1111"/>
      <c r="V1161" s="52"/>
    </row>
    <row r="1162" spans="1:22" s="141" customFormat="1" ht="80.25" customHeight="1">
      <c r="A1162" s="82"/>
      <c r="C1162" s="1091" t="str">
        <f>"Nilai aset tetap berupa "&amp;C1161&amp;"  per "&amp;'2.ISIAN DATA SKPD'!D12&amp;" dan  "&amp;'2.ISIAN DATA SKPD'!D43&amp;" adalah sebesar Rp. "&amp;FIXED(R1167)&amp;" dan Rp. "&amp;FIXED(B1167)&amp;" mengalami kenaikan/penurunan sebesar Rp. "&amp;FIXED(AC1167)&amp;" atau sebesar "&amp;FIXED(Y1167)&amp;"% tahun "&amp;'2.ISIAN DATA SKPD'!D12&amp;"."</f>
        <v>Nilai aset tetap berupa Bangunan Pengaman Sungai dan Penanggulangan Bencana Alam  per 2016 dan   adalah sebesar Rp. 195,386,000.00 dan Rp. 49,793,000.00 mengalami kenaikan/penurunan sebesar Rp. 145,593,000.00 atau sebesar 292.40% tahun 2016.</v>
      </c>
      <c r="D1162" s="1091"/>
      <c r="E1162" s="1091"/>
      <c r="F1162" s="1091"/>
      <c r="G1162" s="1091"/>
      <c r="H1162" s="1091"/>
      <c r="I1162" s="1091"/>
      <c r="J1162" s="1091"/>
      <c r="K1162" s="1091"/>
      <c r="L1162" s="1091"/>
      <c r="M1162" s="1091"/>
      <c r="N1162" s="1091"/>
      <c r="O1162" s="1091"/>
      <c r="P1162" s="1091"/>
      <c r="Q1162" s="1091"/>
      <c r="R1162" s="1091"/>
      <c r="S1162" s="1091"/>
      <c r="T1162" s="1091"/>
      <c r="U1162" s="1091"/>
      <c r="V1162" s="52"/>
    </row>
    <row r="1163" spans="1:22" s="141" customFormat="1" ht="41.25" customHeight="1">
      <c r="A1163" s="82"/>
      <c r="B1163" s="702"/>
      <c r="C1163" s="1091" t="str">
        <f>"Dengan mutasi  selama tahun "&amp;'2.ISIAN DATA SKPD'!D11&amp;" sebagai berikut :"</f>
        <v>Dengan mutasi  selama tahun 2017 sebagai berikut :</v>
      </c>
      <c r="D1163" s="1091"/>
      <c r="E1163" s="1091"/>
      <c r="F1163" s="1091"/>
      <c r="G1163" s="1091"/>
      <c r="H1163" s="1091"/>
      <c r="I1163" s="1091"/>
      <c r="J1163" s="1091"/>
      <c r="K1163" s="1091"/>
      <c r="L1163" s="1091"/>
      <c r="M1163" s="1091"/>
      <c r="N1163" s="1091"/>
      <c r="O1163" s="1091"/>
      <c r="P1163" s="1091"/>
      <c r="Q1163" s="1091"/>
      <c r="R1163" s="1091"/>
      <c r="S1163" s="1091"/>
      <c r="T1163" s="1091"/>
      <c r="U1163" s="1091"/>
      <c r="V1163" s="52"/>
    </row>
    <row r="1164" spans="1:22" s="141" customFormat="1" ht="14.25" customHeight="1">
      <c r="A1164" s="82"/>
      <c r="B1164" s="702"/>
      <c r="C1164" s="783"/>
      <c r="D1164" s="783"/>
      <c r="E1164" s="783"/>
      <c r="F1164" s="783"/>
      <c r="G1164" s="783"/>
      <c r="H1164" s="783"/>
      <c r="I1164" s="783"/>
      <c r="J1164" s="783"/>
      <c r="K1164" s="783"/>
      <c r="L1164" s="783"/>
      <c r="M1164" s="783"/>
      <c r="N1164" s="783"/>
      <c r="O1164" s="783"/>
      <c r="P1164" s="783"/>
      <c r="Q1164" s="783"/>
      <c r="R1164" s="783"/>
      <c r="S1164" s="783"/>
      <c r="T1164" s="783"/>
      <c r="U1164" s="783"/>
      <c r="V1164" s="52"/>
    </row>
    <row r="1165" spans="1:22" s="141" customFormat="1" ht="15" customHeight="1">
      <c r="A1165" s="1156" t="s">
        <v>9</v>
      </c>
      <c r="B1165" s="1164" t="s">
        <v>762</v>
      </c>
      <c r="C1165" s="1165"/>
      <c r="D1165" s="1165"/>
      <c r="E1165" s="1166"/>
      <c r="F1165" s="1151" t="s">
        <v>190</v>
      </c>
      <c r="G1165" s="1151"/>
      <c r="H1165" s="1151"/>
      <c r="I1165" s="1151"/>
      <c r="J1165" s="1151"/>
      <c r="K1165" s="1151"/>
      <c r="L1165" s="1151" t="s">
        <v>761</v>
      </c>
      <c r="M1165" s="1151"/>
      <c r="N1165" s="1151"/>
      <c r="O1165" s="1151"/>
      <c r="P1165" s="1151"/>
      <c r="Q1165" s="1151"/>
      <c r="R1165" s="1077" t="s">
        <v>763</v>
      </c>
      <c r="S1165" s="1077"/>
      <c r="T1165" s="1077"/>
      <c r="U1165" s="1077"/>
      <c r="V1165" s="52"/>
    </row>
    <row r="1166" spans="1:32" s="141" customFormat="1" ht="15" customHeight="1">
      <c r="A1166" s="1157"/>
      <c r="B1166" s="1610">
        <v>2016</v>
      </c>
      <c r="C1166" s="1611"/>
      <c r="D1166" s="1611"/>
      <c r="E1166" s="1612"/>
      <c r="F1166" s="1077" t="s">
        <v>419</v>
      </c>
      <c r="G1166" s="1077"/>
      <c r="H1166" s="1077"/>
      <c r="I1166" s="1077" t="s">
        <v>420</v>
      </c>
      <c r="J1166" s="1077"/>
      <c r="K1166" s="1077"/>
      <c r="L1166" s="1077" t="s">
        <v>419</v>
      </c>
      <c r="M1166" s="1077"/>
      <c r="N1166" s="1077"/>
      <c r="O1166" s="1150" t="s">
        <v>420</v>
      </c>
      <c r="P1166" s="1150"/>
      <c r="Q1166" s="1150"/>
      <c r="R1166" s="1173">
        <v>2017</v>
      </c>
      <c r="S1166" s="1174"/>
      <c r="T1166" s="1174"/>
      <c r="U1166" s="1175"/>
      <c r="V1166" s="1074"/>
      <c r="W1166" s="1073"/>
      <c r="X1166" s="1073"/>
      <c r="Y1166" s="1045" t="s">
        <v>1677</v>
      </c>
      <c r="Z1166" s="1073"/>
      <c r="AA1166" s="1073"/>
      <c r="AB1166" s="1073"/>
      <c r="AC1166" s="1085" t="s">
        <v>1676</v>
      </c>
      <c r="AD1166" s="1086"/>
      <c r="AE1166" s="1086"/>
      <c r="AF1166" s="1086"/>
    </row>
    <row r="1167" spans="1:32" s="141" customFormat="1" ht="27" customHeight="1">
      <c r="A1167" s="824" t="str">
        <f>C1161</f>
        <v>Bangunan Pengaman Sungai dan Penanggulangan Bencana Alam</v>
      </c>
      <c r="B1167" s="1152">
        <f>'4.NERACA'!D113</f>
        <v>49793000</v>
      </c>
      <c r="C1167" s="1153"/>
      <c r="D1167" s="1153"/>
      <c r="E1167" s="1154"/>
      <c r="F1167" s="1152">
        <f>'4.NERACA'!E113</f>
        <v>0</v>
      </c>
      <c r="G1167" s="1153"/>
      <c r="H1167" s="1154"/>
      <c r="I1167" s="1152">
        <f>'4.NERACA'!F113</f>
        <v>0</v>
      </c>
      <c r="J1167" s="1153"/>
      <c r="K1167" s="1154"/>
      <c r="L1167" s="1647">
        <f>'4.NERACA'!G113</f>
        <v>145593000</v>
      </c>
      <c r="M1167" s="1648"/>
      <c r="N1167" s="1649"/>
      <c r="O1167" s="1152">
        <f>'4.NERACA'!H113</f>
        <v>0</v>
      </c>
      <c r="P1167" s="1153"/>
      <c r="Q1167" s="1154"/>
      <c r="R1167" s="1152">
        <f>B1167+F1167-I1167+L1167-O1167</f>
        <v>195386000</v>
      </c>
      <c r="S1167" s="1153"/>
      <c r="T1167" s="1153"/>
      <c r="U1167" s="1154"/>
      <c r="V1167" s="1072"/>
      <c r="W1167" s="1073"/>
      <c r="X1167" s="1073"/>
      <c r="Y1167" s="1045">
        <f>(R1167-B1167)/B1167*100</f>
        <v>292.39652159942165</v>
      </c>
      <c r="Z1167" s="1073"/>
      <c r="AA1167" s="1073"/>
      <c r="AB1167" s="1073"/>
      <c r="AC1167" s="1045">
        <f>R1167-B1167</f>
        <v>145593000</v>
      </c>
      <c r="AD1167" s="1046"/>
      <c r="AE1167" s="1046"/>
      <c r="AF1167" s="1046"/>
    </row>
    <row r="1168" spans="1:22" s="141" customFormat="1" ht="15" customHeight="1">
      <c r="A1168" s="81"/>
      <c r="B1168" s="1452" t="s">
        <v>766</v>
      </c>
      <c r="C1168" s="1452"/>
      <c r="D1168" s="1452"/>
      <c r="E1168" s="1452"/>
      <c r="F1168" s="1452"/>
      <c r="G1168" s="1452"/>
      <c r="H1168" s="1452"/>
      <c r="I1168" s="1452"/>
      <c r="J1168" s="1452"/>
      <c r="K1168" s="1452"/>
      <c r="L1168" s="1452"/>
      <c r="M1168" s="1452"/>
      <c r="N1168" s="1452"/>
      <c r="O1168" s="1452"/>
      <c r="P1168" s="1452"/>
      <c r="Q1168" s="1452"/>
      <c r="R1168" s="1452"/>
      <c r="S1168" s="1452"/>
      <c r="T1168" s="1452"/>
      <c r="U1168" s="1452"/>
      <c r="V1168" s="52"/>
    </row>
    <row r="1169" spans="1:22" s="141" customFormat="1" ht="15" customHeight="1">
      <c r="A1169" s="81"/>
      <c r="B1169" s="629"/>
      <c r="C1169" s="1337" t="s">
        <v>1562</v>
      </c>
      <c r="D1169" s="1337"/>
      <c r="E1169" s="1337"/>
      <c r="F1169" s="1337"/>
      <c r="G1169" s="1337"/>
      <c r="H1169" s="1337"/>
      <c r="I1169" s="1337"/>
      <c r="J1169" s="1337"/>
      <c r="K1169" s="1337"/>
      <c r="L1169" s="1337"/>
      <c r="M1169" s="1337"/>
      <c r="N1169" s="1337"/>
      <c r="O1169" s="1337"/>
      <c r="P1169" s="1337"/>
      <c r="Q1169" s="1337"/>
      <c r="R1169" s="1337"/>
      <c r="S1169" s="1337"/>
      <c r="T1169" s="1337"/>
      <c r="U1169" s="1337"/>
      <c r="V1169" s="52"/>
    </row>
    <row r="1170" spans="1:22" s="141" customFormat="1" ht="64.5" customHeight="1">
      <c r="A1170" s="81"/>
      <c r="B1170" s="629"/>
      <c r="C1170" s="1168" t="str">
        <f>"Mutasi Debet sebesar Rp. "&amp;FIXED(F1167+L1167)&amp;" adalah hasil pengadaan barang tahun "&amp;'2.ISIAN DATA SKPD'!D11&amp;" dari belanja modal berupa Belabnja Modal Jalan,Irigasi dan Jarinagn Pengadaan Bangunan Pengaman Pengamanan Sungai"</f>
        <v>Mutasi Debet sebesar Rp. 145,593,000.00 adalah hasil pengadaan barang tahun 2017 dari belanja modal berupa Belabnja Modal Jalan,Irigasi dan Jarinagn Pengadaan Bangunan Pengaman Pengamanan Sungai</v>
      </c>
      <c r="D1170" s="1168"/>
      <c r="E1170" s="1168"/>
      <c r="F1170" s="1168"/>
      <c r="G1170" s="1168"/>
      <c r="H1170" s="1168"/>
      <c r="I1170" s="1168"/>
      <c r="J1170" s="1168"/>
      <c r="K1170" s="1168"/>
      <c r="L1170" s="1168"/>
      <c r="M1170" s="1168"/>
      <c r="N1170" s="1168"/>
      <c r="O1170" s="1168"/>
      <c r="P1170" s="1168"/>
      <c r="Q1170" s="1168"/>
      <c r="R1170" s="1168"/>
      <c r="S1170" s="1168"/>
      <c r="T1170" s="1168"/>
      <c r="U1170" s="1168"/>
      <c r="V1170" s="52"/>
    </row>
    <row r="1171" spans="1:22" s="141" customFormat="1" ht="15" customHeight="1">
      <c r="A1171" s="81"/>
      <c r="B1171" s="629"/>
      <c r="C1171" s="1337" t="s">
        <v>1563</v>
      </c>
      <c r="D1171" s="1337"/>
      <c r="E1171" s="1337"/>
      <c r="F1171" s="1337"/>
      <c r="G1171" s="1337"/>
      <c r="H1171" s="1337"/>
      <c r="I1171" s="1337"/>
      <c r="J1171" s="1337"/>
      <c r="K1171" s="1337"/>
      <c r="L1171" s="1337"/>
      <c r="M1171" s="1337"/>
      <c r="N1171" s="1337"/>
      <c r="O1171" s="1337"/>
      <c r="P1171" s="1337"/>
      <c r="Q1171" s="1337"/>
      <c r="R1171" s="1337"/>
      <c r="S1171" s="1337"/>
      <c r="T1171" s="1337"/>
      <c r="U1171" s="1337"/>
      <c r="V1171" s="52"/>
    </row>
    <row r="1172" spans="1:22" s="141" customFormat="1" ht="18.75" customHeight="1">
      <c r="A1172" s="81"/>
      <c r="B1172" s="10"/>
      <c r="C1172" s="1168" t="str">
        <f>"Mutasi Kredit Rp. "&amp;FIXED(I1167+O1167)&amp;" "</f>
        <v>Mutasi Kredit Rp. 0.00 </v>
      </c>
      <c r="D1172" s="1168"/>
      <c r="E1172" s="1168"/>
      <c r="F1172" s="1168"/>
      <c r="G1172" s="1168"/>
      <c r="H1172" s="1168"/>
      <c r="I1172" s="1168"/>
      <c r="J1172" s="1168"/>
      <c r="K1172" s="1168"/>
      <c r="L1172" s="1168"/>
      <c r="M1172" s="1168"/>
      <c r="N1172" s="1168"/>
      <c r="O1172" s="1168"/>
      <c r="P1172" s="1168"/>
      <c r="Q1172" s="1168"/>
      <c r="R1172" s="1168"/>
      <c r="S1172" s="1168"/>
      <c r="T1172" s="1168"/>
      <c r="U1172" s="1168"/>
      <c r="V1172" s="52"/>
    </row>
    <row r="1173" spans="1:22" s="141" customFormat="1" ht="15">
      <c r="A1173" s="82"/>
      <c r="B1173" s="1226"/>
      <c r="C1173" s="1226"/>
      <c r="D1173" s="1226"/>
      <c r="E1173" s="1226"/>
      <c r="F1173" s="1226"/>
      <c r="G1173" s="1226"/>
      <c r="H1173" s="1226"/>
      <c r="I1173" s="1226"/>
      <c r="J1173" s="1226"/>
      <c r="K1173" s="1226"/>
      <c r="L1173" s="1226"/>
      <c r="M1173" s="1226"/>
      <c r="N1173" s="1638"/>
      <c r="O1173" s="1638"/>
      <c r="P1173" s="1638"/>
      <c r="Q1173" s="1638"/>
      <c r="R1173" s="1638"/>
      <c r="S1173" s="1638"/>
      <c r="T1173" s="1638"/>
      <c r="U1173" s="1638"/>
      <c r="V1173" s="52"/>
    </row>
    <row r="1174" spans="1:22" s="141" customFormat="1" ht="15" customHeight="1">
      <c r="A1174" s="82"/>
      <c r="B1174" s="774" t="s">
        <v>1221</v>
      </c>
      <c r="C1174" s="1111" t="str">
        <f>'4.NERACA'!C114</f>
        <v>Bangunan Pengembangan Sumber Air dan Air Tanah</v>
      </c>
      <c r="D1174" s="1111"/>
      <c r="E1174" s="1111"/>
      <c r="F1174" s="1111"/>
      <c r="G1174" s="1111"/>
      <c r="H1174" s="1111"/>
      <c r="I1174" s="1111"/>
      <c r="J1174" s="1111"/>
      <c r="K1174" s="1111"/>
      <c r="L1174" s="1111"/>
      <c r="M1174" s="1111"/>
      <c r="N1174" s="1111"/>
      <c r="O1174" s="1111"/>
      <c r="P1174" s="1111"/>
      <c r="Q1174" s="1111"/>
      <c r="R1174" s="1111"/>
      <c r="S1174" s="1111"/>
      <c r="T1174" s="1111"/>
      <c r="U1174" s="1111"/>
      <c r="V1174" s="52"/>
    </row>
    <row r="1175" spans="1:22" s="141" customFormat="1" ht="15" customHeight="1">
      <c r="A1175" s="82"/>
      <c r="C1175" s="1091" t="s">
        <v>1575</v>
      </c>
      <c r="D1175" s="1091"/>
      <c r="E1175" s="1091"/>
      <c r="F1175" s="1091"/>
      <c r="G1175" s="1091"/>
      <c r="H1175" s="1091"/>
      <c r="I1175" s="1091"/>
      <c r="J1175" s="1091"/>
      <c r="K1175" s="1091"/>
      <c r="L1175" s="1091"/>
      <c r="M1175" s="1091"/>
      <c r="N1175" s="1091"/>
      <c r="O1175" s="1091"/>
      <c r="P1175" s="1091"/>
      <c r="Q1175" s="1091"/>
      <c r="R1175" s="1091"/>
      <c r="S1175" s="1091"/>
      <c r="T1175" s="1091"/>
      <c r="U1175" s="1091"/>
      <c r="V1175" s="52"/>
    </row>
    <row r="1176" spans="1:22" s="141" customFormat="1" ht="15" customHeight="1">
      <c r="A1176" s="838"/>
      <c r="C1176" s="833"/>
      <c r="D1176" s="833"/>
      <c r="E1176" s="833"/>
      <c r="F1176" s="833"/>
      <c r="G1176" s="833"/>
      <c r="H1176" s="833"/>
      <c r="I1176" s="833"/>
      <c r="J1176" s="833"/>
      <c r="K1176" s="833"/>
      <c r="L1176" s="833"/>
      <c r="M1176" s="833"/>
      <c r="N1176" s="833"/>
      <c r="O1176" s="833"/>
      <c r="P1176" s="833"/>
      <c r="Q1176" s="833"/>
      <c r="R1176" s="833"/>
      <c r="S1176" s="833"/>
      <c r="T1176" s="833"/>
      <c r="U1176" s="833"/>
      <c r="V1176" s="52"/>
    </row>
    <row r="1177" spans="1:22" s="141" customFormat="1" ht="15" customHeight="1">
      <c r="A1177" s="838"/>
      <c r="C1177" s="833"/>
      <c r="D1177" s="833"/>
      <c r="E1177" s="833"/>
      <c r="F1177" s="833"/>
      <c r="G1177" s="833"/>
      <c r="H1177" s="833"/>
      <c r="I1177" s="833"/>
      <c r="J1177" s="833"/>
      <c r="K1177" s="833"/>
      <c r="L1177" s="833"/>
      <c r="M1177" s="833"/>
      <c r="N1177" s="833"/>
      <c r="O1177" s="833"/>
      <c r="P1177" s="833"/>
      <c r="Q1177" s="833"/>
      <c r="R1177" s="833"/>
      <c r="S1177" s="833"/>
      <c r="T1177" s="833"/>
      <c r="U1177" s="833"/>
      <c r="V1177" s="52"/>
    </row>
    <row r="1178" spans="1:22" s="141" customFormat="1" ht="15" customHeight="1">
      <c r="A1178" s="838"/>
      <c r="C1178" s="833"/>
      <c r="D1178" s="833"/>
      <c r="E1178" s="833"/>
      <c r="F1178" s="833"/>
      <c r="G1178" s="833"/>
      <c r="H1178" s="833"/>
      <c r="I1178" s="833"/>
      <c r="J1178" s="833"/>
      <c r="K1178" s="833"/>
      <c r="L1178" s="833"/>
      <c r="M1178" s="833"/>
      <c r="N1178" s="833"/>
      <c r="O1178" s="833"/>
      <c r="P1178" s="833"/>
      <c r="Q1178" s="833"/>
      <c r="R1178" s="833"/>
      <c r="S1178" s="833"/>
      <c r="T1178" s="833"/>
      <c r="U1178" s="833"/>
      <c r="V1178" s="52"/>
    </row>
    <row r="1179" spans="1:22" s="141" customFormat="1" ht="15" customHeight="1">
      <c r="A1179" s="82"/>
      <c r="B1179" s="774" t="s">
        <v>1225</v>
      </c>
      <c r="C1179" s="1111" t="str">
        <f>'4.NERACA'!C115</f>
        <v>Bangunan Air Bersih/Baku</v>
      </c>
      <c r="D1179" s="1111"/>
      <c r="E1179" s="1111"/>
      <c r="F1179" s="1111"/>
      <c r="G1179" s="1111"/>
      <c r="H1179" s="1111"/>
      <c r="I1179" s="1111"/>
      <c r="J1179" s="1111"/>
      <c r="K1179" s="1111"/>
      <c r="L1179" s="1111"/>
      <c r="M1179" s="1111"/>
      <c r="N1179" s="1111"/>
      <c r="O1179" s="1111"/>
      <c r="P1179" s="1111"/>
      <c r="Q1179" s="1111"/>
      <c r="R1179" s="1111"/>
      <c r="S1179" s="1111"/>
      <c r="T1179" s="1111"/>
      <c r="U1179" s="1111"/>
      <c r="V1179" s="52"/>
    </row>
    <row r="1180" spans="1:22" s="141" customFormat="1" ht="60.75" customHeight="1">
      <c r="A1180" s="82"/>
      <c r="C1180" s="1091" t="str">
        <f>"Nilai aset tetap berupa "&amp;C1179&amp;"  per "&amp;'2.ISIAN DATA SKPD'!D8&amp;" dan  "&amp;'2.ISIAN DATA SKPD'!D12&amp;" adalah sebesar Rp. "&amp;FIXED(R1185)&amp;" dan Rp. "&amp;FIXED(B1185)&amp;" tidak mengalami kenaikan/penurunan sebesar Rp. "&amp;FIXED(AC1185)&amp;" atau sebesar "&amp;FIXED(Y1185)&amp;"% dati tahun "&amp;'2.ISIAN DATA SKPD'!D12&amp;"."</f>
        <v>Nilai aset tetap berupa Bangunan Air Bersih/Baku  per 31 Desember 2017 dan  2016 adalah sebesar Rp. 274,710,000.00 dan Rp. 274,710,000.00 tidak mengalami kenaikan/penurunan sebesar Rp. 0.00 atau sebesar 0.00% dati tahun 2016.</v>
      </c>
      <c r="D1180" s="1091"/>
      <c r="E1180" s="1091"/>
      <c r="F1180" s="1091"/>
      <c r="G1180" s="1091"/>
      <c r="H1180" s="1091"/>
      <c r="I1180" s="1091"/>
      <c r="J1180" s="1091"/>
      <c r="K1180" s="1091"/>
      <c r="L1180" s="1091"/>
      <c r="M1180" s="1091"/>
      <c r="N1180" s="1091"/>
      <c r="O1180" s="1091"/>
      <c r="P1180" s="1091"/>
      <c r="Q1180" s="1091"/>
      <c r="R1180" s="1091"/>
      <c r="S1180" s="1091"/>
      <c r="T1180" s="1091"/>
      <c r="U1180" s="1091"/>
      <c r="V1180" s="52"/>
    </row>
    <row r="1181" spans="1:22" s="141" customFormat="1" ht="18.75" customHeight="1">
      <c r="A1181" s="82"/>
      <c r="B1181" s="702"/>
      <c r="C1181" s="1091" t="str">
        <f>"Dengan mutasi  selama tahun "&amp;'2.ISIAN DATA SKPD'!D11&amp;" sebagai berikut :"</f>
        <v>Dengan mutasi  selama tahun 2017 sebagai berikut :</v>
      </c>
      <c r="D1181" s="1091"/>
      <c r="E1181" s="1091"/>
      <c r="F1181" s="1091"/>
      <c r="G1181" s="1091"/>
      <c r="H1181" s="1091"/>
      <c r="I1181" s="1091"/>
      <c r="J1181" s="1091"/>
      <c r="K1181" s="1091"/>
      <c r="L1181" s="1091"/>
      <c r="M1181" s="1091"/>
      <c r="N1181" s="1091"/>
      <c r="O1181" s="1091"/>
      <c r="P1181" s="1091"/>
      <c r="Q1181" s="1091"/>
      <c r="R1181" s="1091"/>
      <c r="S1181" s="1091"/>
      <c r="T1181" s="1091"/>
      <c r="U1181" s="1091"/>
      <c r="V1181" s="52"/>
    </row>
    <row r="1182" spans="1:22" s="141" customFormat="1" ht="9" customHeight="1">
      <c r="A1182" s="82"/>
      <c r="B1182" s="702"/>
      <c r="C1182" s="783"/>
      <c r="D1182" s="783"/>
      <c r="E1182" s="783"/>
      <c r="F1182" s="783"/>
      <c r="G1182" s="783"/>
      <c r="H1182" s="783"/>
      <c r="I1182" s="783"/>
      <c r="J1182" s="783"/>
      <c r="K1182" s="783"/>
      <c r="L1182" s="783"/>
      <c r="M1182" s="783"/>
      <c r="N1182" s="783"/>
      <c r="O1182" s="783"/>
      <c r="P1182" s="783"/>
      <c r="Q1182" s="783"/>
      <c r="R1182" s="783"/>
      <c r="S1182" s="783"/>
      <c r="T1182" s="783"/>
      <c r="U1182" s="783"/>
      <c r="V1182" s="52"/>
    </row>
    <row r="1183" spans="1:22" s="141" customFormat="1" ht="15" customHeight="1">
      <c r="A1183" s="1156" t="s">
        <v>9</v>
      </c>
      <c r="B1183" s="1408" t="s">
        <v>762</v>
      </c>
      <c r="C1183" s="1409"/>
      <c r="D1183" s="1409"/>
      <c r="E1183" s="1410"/>
      <c r="F1183" s="1178" t="s">
        <v>190</v>
      </c>
      <c r="G1183" s="1178"/>
      <c r="H1183" s="1178"/>
      <c r="I1183" s="1178"/>
      <c r="J1183" s="1178"/>
      <c r="K1183" s="1178"/>
      <c r="L1183" s="1178" t="s">
        <v>761</v>
      </c>
      <c r="M1183" s="1178"/>
      <c r="N1183" s="1178"/>
      <c r="O1183" s="1178"/>
      <c r="P1183" s="1178"/>
      <c r="Q1183" s="1178"/>
      <c r="R1183" s="1169" t="s">
        <v>763</v>
      </c>
      <c r="S1183" s="1169"/>
      <c r="T1183" s="1169"/>
      <c r="U1183" s="1169"/>
      <c r="V1183" s="52"/>
    </row>
    <row r="1184" spans="1:32" s="141" customFormat="1" ht="15" customHeight="1">
      <c r="A1184" s="1157"/>
      <c r="B1184" s="1161">
        <v>2016</v>
      </c>
      <c r="C1184" s="1162"/>
      <c r="D1184" s="1162"/>
      <c r="E1184" s="1163"/>
      <c r="F1184" s="1408" t="s">
        <v>419</v>
      </c>
      <c r="G1184" s="1409"/>
      <c r="H1184" s="1410"/>
      <c r="I1184" s="1408" t="s">
        <v>420</v>
      </c>
      <c r="J1184" s="1409"/>
      <c r="K1184" s="1410"/>
      <c r="L1184" s="1408" t="s">
        <v>419</v>
      </c>
      <c r="M1184" s="1409"/>
      <c r="N1184" s="1410"/>
      <c r="O1184" s="1650" t="s">
        <v>420</v>
      </c>
      <c r="P1184" s="1651"/>
      <c r="Q1184" s="1652"/>
      <c r="R1184" s="1173">
        <v>2017</v>
      </c>
      <c r="S1184" s="1174"/>
      <c r="T1184" s="1174"/>
      <c r="U1184" s="1175"/>
      <c r="V1184" s="1074"/>
      <c r="W1184" s="1073"/>
      <c r="X1184" s="1073"/>
      <c r="Y1184" s="1045" t="s">
        <v>1677</v>
      </c>
      <c r="Z1184" s="1073"/>
      <c r="AA1184" s="1073"/>
      <c r="AB1184" s="1073"/>
      <c r="AC1184" s="1085" t="s">
        <v>1676</v>
      </c>
      <c r="AD1184" s="1086"/>
      <c r="AE1184" s="1086"/>
      <c r="AF1184" s="1086"/>
    </row>
    <row r="1185" spans="1:32" s="141" customFormat="1" ht="30" customHeight="1">
      <c r="A1185" s="821" t="str">
        <f>C1179</f>
        <v>Bangunan Air Bersih/Baku</v>
      </c>
      <c r="B1185" s="1158">
        <f>'4.NERACA'!D115</f>
        <v>274710000</v>
      </c>
      <c r="C1185" s="1159"/>
      <c r="D1185" s="1159"/>
      <c r="E1185" s="1160"/>
      <c r="F1185" s="1158">
        <f>'4.NERACA'!E115</f>
        <v>0</v>
      </c>
      <c r="G1185" s="1159"/>
      <c r="H1185" s="1160"/>
      <c r="I1185" s="1158">
        <f>'4.NERACA'!F115</f>
        <v>0</v>
      </c>
      <c r="J1185" s="1159"/>
      <c r="K1185" s="1160"/>
      <c r="L1185" s="1158">
        <f>'4.NERACA'!G115</f>
        <v>0</v>
      </c>
      <c r="M1185" s="1159"/>
      <c r="N1185" s="1160"/>
      <c r="O1185" s="1158">
        <f>'4.NERACA'!H115</f>
        <v>0</v>
      </c>
      <c r="P1185" s="1159"/>
      <c r="Q1185" s="1160"/>
      <c r="R1185" s="1158">
        <f>B1185+F1185-I1185+L1185-O1185</f>
        <v>274710000</v>
      </c>
      <c r="S1185" s="1159"/>
      <c r="T1185" s="1159"/>
      <c r="U1185" s="1160"/>
      <c r="V1185" s="1072"/>
      <c r="W1185" s="1073"/>
      <c r="X1185" s="1073"/>
      <c r="Y1185" s="1045">
        <f>(R1185-B1185)/B1185*100</f>
        <v>0</v>
      </c>
      <c r="Z1185" s="1073"/>
      <c r="AA1185" s="1073"/>
      <c r="AB1185" s="1073"/>
      <c r="AC1185" s="1045">
        <f>R1185-B1185</f>
        <v>0</v>
      </c>
      <c r="AD1185" s="1046"/>
      <c r="AE1185" s="1046"/>
      <c r="AF1185" s="1046"/>
    </row>
    <row r="1186" spans="1:22" s="141" customFormat="1" ht="15" customHeight="1">
      <c r="A1186" s="81"/>
      <c r="B1186" s="1452" t="s">
        <v>766</v>
      </c>
      <c r="C1186" s="1452"/>
      <c r="D1186" s="1452"/>
      <c r="E1186" s="1452"/>
      <c r="F1186" s="1452"/>
      <c r="G1186" s="1452"/>
      <c r="H1186" s="1452"/>
      <c r="I1186" s="1452"/>
      <c r="J1186" s="1452"/>
      <c r="K1186" s="1452"/>
      <c r="L1186" s="1452"/>
      <c r="M1186" s="1452"/>
      <c r="N1186" s="1452"/>
      <c r="O1186" s="1452"/>
      <c r="P1186" s="1452"/>
      <c r="Q1186" s="1452"/>
      <c r="R1186" s="1452"/>
      <c r="S1186" s="1452"/>
      <c r="T1186" s="1452"/>
      <c r="U1186" s="1452"/>
      <c r="V1186" s="52"/>
    </row>
    <row r="1187" spans="1:22" s="141" customFormat="1" ht="15" customHeight="1">
      <c r="A1187" s="81"/>
      <c r="B1187" s="629"/>
      <c r="C1187" s="1337" t="s">
        <v>1562</v>
      </c>
      <c r="D1187" s="1337"/>
      <c r="E1187" s="1337"/>
      <c r="F1187" s="1337"/>
      <c r="G1187" s="1337"/>
      <c r="H1187" s="1337"/>
      <c r="I1187" s="1337"/>
      <c r="J1187" s="1337"/>
      <c r="K1187" s="1337"/>
      <c r="L1187" s="1337"/>
      <c r="M1187" s="1337"/>
      <c r="N1187" s="1337"/>
      <c r="O1187" s="1337"/>
      <c r="P1187" s="1337"/>
      <c r="Q1187" s="1337"/>
      <c r="R1187" s="1337"/>
      <c r="S1187" s="1337"/>
      <c r="T1187" s="1337"/>
      <c r="U1187" s="1337"/>
      <c r="V1187" s="52"/>
    </row>
    <row r="1188" spans="1:22" s="141" customFormat="1" ht="15" customHeight="1">
      <c r="A1188" s="81"/>
      <c r="B1188" s="629"/>
      <c r="C1188" s="1168" t="s">
        <v>1575</v>
      </c>
      <c r="D1188" s="1168"/>
      <c r="E1188" s="1168"/>
      <c r="F1188" s="1168"/>
      <c r="G1188" s="1168"/>
      <c r="H1188" s="1168"/>
      <c r="I1188" s="1168"/>
      <c r="J1188" s="1168"/>
      <c r="K1188" s="1168"/>
      <c r="L1188" s="1168"/>
      <c r="M1188" s="1168"/>
      <c r="N1188" s="1168"/>
      <c r="O1188" s="1168"/>
      <c r="P1188" s="1168"/>
      <c r="Q1188" s="1168"/>
      <c r="R1188" s="1168"/>
      <c r="S1188" s="1168"/>
      <c r="T1188" s="1168"/>
      <c r="U1188" s="1168"/>
      <c r="V1188" s="52"/>
    </row>
    <row r="1189" spans="1:22" s="141" customFormat="1" ht="15" customHeight="1">
      <c r="A1189" s="81"/>
      <c r="B1189" s="629"/>
      <c r="C1189" s="1337" t="s">
        <v>1563</v>
      </c>
      <c r="D1189" s="1337"/>
      <c r="E1189" s="1337"/>
      <c r="F1189" s="1337"/>
      <c r="G1189" s="1337"/>
      <c r="H1189" s="1337"/>
      <c r="I1189" s="1337"/>
      <c r="J1189" s="1337"/>
      <c r="K1189" s="1337"/>
      <c r="L1189" s="1337"/>
      <c r="M1189" s="1337"/>
      <c r="N1189" s="1337"/>
      <c r="O1189" s="1337"/>
      <c r="P1189" s="1337"/>
      <c r="Q1189" s="1337"/>
      <c r="R1189" s="1337"/>
      <c r="S1189" s="1337"/>
      <c r="T1189" s="1337"/>
      <c r="U1189" s="1337"/>
      <c r="V1189" s="52"/>
    </row>
    <row r="1190" spans="1:22" s="141" customFormat="1" ht="14.25" customHeight="1">
      <c r="A1190" s="81"/>
      <c r="B1190" s="10"/>
      <c r="C1190" s="1168" t="s">
        <v>1575</v>
      </c>
      <c r="D1190" s="1168"/>
      <c r="E1190" s="1168"/>
      <c r="F1190" s="1168"/>
      <c r="G1190" s="1168"/>
      <c r="H1190" s="1168"/>
      <c r="I1190" s="1168"/>
      <c r="J1190" s="1168"/>
      <c r="K1190" s="1168"/>
      <c r="L1190" s="1168"/>
      <c r="M1190" s="1168"/>
      <c r="N1190" s="1168"/>
      <c r="O1190" s="1168"/>
      <c r="P1190" s="1168"/>
      <c r="Q1190" s="1168"/>
      <c r="R1190" s="1168"/>
      <c r="S1190" s="1168"/>
      <c r="T1190" s="1168"/>
      <c r="U1190" s="1168"/>
      <c r="V1190" s="52"/>
    </row>
    <row r="1191" spans="1:22" s="141" customFormat="1" ht="6.75" customHeight="1">
      <c r="A1191" s="82"/>
      <c r="B1191" s="626"/>
      <c r="C1191" s="626"/>
      <c r="D1191" s="626"/>
      <c r="E1191" s="626"/>
      <c r="F1191" s="626"/>
      <c r="G1191" s="626"/>
      <c r="H1191" s="626"/>
      <c r="I1191" s="626"/>
      <c r="J1191" s="626"/>
      <c r="K1191" s="626"/>
      <c r="L1191" s="626"/>
      <c r="M1191" s="626"/>
      <c r="N1191" s="5"/>
      <c r="O1191" s="5"/>
      <c r="P1191" s="5"/>
      <c r="Q1191" s="5"/>
      <c r="R1191" s="5"/>
      <c r="S1191" s="5"/>
      <c r="T1191" s="5"/>
      <c r="U1191" s="5"/>
      <c r="V1191" s="52"/>
    </row>
    <row r="1192" spans="1:22" s="141" customFormat="1" ht="18" customHeight="1">
      <c r="A1192" s="82"/>
      <c r="B1192" s="774" t="s">
        <v>1409</v>
      </c>
      <c r="C1192" s="1111" t="str">
        <f>'4.NERACA'!C116</f>
        <v>Bangunan Air Kotor</v>
      </c>
      <c r="D1192" s="1111"/>
      <c r="E1192" s="1111"/>
      <c r="F1192" s="1111"/>
      <c r="G1192" s="1111"/>
      <c r="H1192" s="1111"/>
      <c r="I1192" s="1111"/>
      <c r="J1192" s="1111"/>
      <c r="K1192" s="1111"/>
      <c r="L1192" s="1111"/>
      <c r="M1192" s="1111"/>
      <c r="N1192" s="1111"/>
      <c r="O1192" s="1111"/>
      <c r="P1192" s="1111"/>
      <c r="Q1192" s="1111"/>
      <c r="R1192" s="1111"/>
      <c r="S1192" s="1111"/>
      <c r="T1192" s="1111"/>
      <c r="U1192" s="1111"/>
      <c r="V1192" s="52"/>
    </row>
    <row r="1193" spans="1:22" s="141" customFormat="1" ht="57.75" customHeight="1">
      <c r="A1193" s="82"/>
      <c r="C1193" s="1091" t="str">
        <f>"Nilai aset tetap berupa "&amp;C1192&amp;"  per "&amp;'2.ISIAN DATA SKPD'!D12&amp;" dan  "&amp;'2.ISIAN DATA SKPD'!D21&amp;" adalah sebesar Rp. "&amp;FIXED(R1198)&amp;" dan Rp. "&amp;FIXED(B1198)&amp;" tidak mengalami kenaikan/penurunan sebesar Rp. "&amp;FIXED(AC1198)&amp;" atau sebesar "&amp;FIXED(Y1198)&amp;"% dari tahun "&amp;'2.ISIAN DATA SKPD'!D12&amp;"."</f>
        <v>Nilai aset tetap berupa Bangunan Air Kotor  per 2016 dan   adalah sebesar Rp. 195,667,000.00 dan Rp. 195,667,000.00 tidak mengalami kenaikan/penurunan sebesar Rp. 0.00 atau sebesar 0.00% dari tahun 2016.</v>
      </c>
      <c r="D1193" s="1091"/>
      <c r="E1193" s="1091"/>
      <c r="F1193" s="1091"/>
      <c r="G1193" s="1091"/>
      <c r="H1193" s="1091"/>
      <c r="I1193" s="1091"/>
      <c r="J1193" s="1091"/>
      <c r="K1193" s="1091"/>
      <c r="L1193" s="1091"/>
      <c r="M1193" s="1091"/>
      <c r="N1193" s="1091"/>
      <c r="O1193" s="1091"/>
      <c r="P1193" s="1091"/>
      <c r="Q1193" s="1091"/>
      <c r="R1193" s="1091"/>
      <c r="S1193" s="1091"/>
      <c r="T1193" s="1091"/>
      <c r="U1193" s="1091"/>
      <c r="V1193" s="52"/>
    </row>
    <row r="1194" spans="1:22" s="141" customFormat="1" ht="15">
      <c r="A1194" s="82"/>
      <c r="C1194" s="1091" t="str">
        <f>"Dengan mutasi  selama tahun "&amp;'2.ISIAN DATA SKPD'!D11&amp;" sebagai berikut :"</f>
        <v>Dengan mutasi  selama tahun 2017 sebagai berikut :</v>
      </c>
      <c r="D1194" s="1091"/>
      <c r="E1194" s="1091"/>
      <c r="F1194" s="1091"/>
      <c r="G1194" s="1091"/>
      <c r="H1194" s="1091"/>
      <c r="I1194" s="1091"/>
      <c r="J1194" s="1091"/>
      <c r="K1194" s="1091"/>
      <c r="L1194" s="1091"/>
      <c r="M1194" s="1091"/>
      <c r="N1194" s="1091"/>
      <c r="O1194" s="1091"/>
      <c r="P1194" s="1091"/>
      <c r="Q1194" s="1091"/>
      <c r="R1194" s="1091"/>
      <c r="S1194" s="1091"/>
      <c r="T1194" s="1091"/>
      <c r="U1194" s="1091"/>
      <c r="V1194" s="52"/>
    </row>
    <row r="1195" spans="1:22" s="141" customFormat="1" ht="9" customHeight="1">
      <c r="A1195" s="82"/>
      <c r="C1195" s="783"/>
      <c r="D1195" s="783"/>
      <c r="E1195" s="783"/>
      <c r="F1195" s="783"/>
      <c r="G1195" s="783"/>
      <c r="H1195" s="783"/>
      <c r="I1195" s="783"/>
      <c r="J1195" s="783"/>
      <c r="K1195" s="783"/>
      <c r="L1195" s="783"/>
      <c r="M1195" s="783"/>
      <c r="N1195" s="783"/>
      <c r="O1195" s="783"/>
      <c r="P1195" s="783"/>
      <c r="Q1195" s="783"/>
      <c r="R1195" s="783"/>
      <c r="S1195" s="783"/>
      <c r="T1195" s="783"/>
      <c r="U1195" s="783"/>
      <c r="V1195" s="52"/>
    </row>
    <row r="1196" spans="1:22" s="141" customFormat="1" ht="15" customHeight="1">
      <c r="A1196" s="1156" t="s">
        <v>9</v>
      </c>
      <c r="B1196" s="1408" t="s">
        <v>762</v>
      </c>
      <c r="C1196" s="1409"/>
      <c r="D1196" s="1409"/>
      <c r="E1196" s="1410"/>
      <c r="F1196" s="1178" t="s">
        <v>190</v>
      </c>
      <c r="G1196" s="1178"/>
      <c r="H1196" s="1178"/>
      <c r="I1196" s="1178"/>
      <c r="J1196" s="1178"/>
      <c r="K1196" s="1178"/>
      <c r="L1196" s="1178" t="s">
        <v>761</v>
      </c>
      <c r="M1196" s="1178"/>
      <c r="N1196" s="1178"/>
      <c r="O1196" s="1178"/>
      <c r="P1196" s="1178"/>
      <c r="Q1196" s="1178"/>
      <c r="R1196" s="1169" t="s">
        <v>763</v>
      </c>
      <c r="S1196" s="1169"/>
      <c r="T1196" s="1169"/>
      <c r="U1196" s="1169"/>
      <c r="V1196" s="52"/>
    </row>
    <row r="1197" spans="1:32" s="141" customFormat="1" ht="15" customHeight="1">
      <c r="A1197" s="1157"/>
      <c r="B1197" s="1161">
        <f>B1184</f>
        <v>2016</v>
      </c>
      <c r="C1197" s="1162"/>
      <c r="D1197" s="1162"/>
      <c r="E1197" s="1163"/>
      <c r="F1197" s="1169" t="s">
        <v>419</v>
      </c>
      <c r="G1197" s="1169"/>
      <c r="H1197" s="1169"/>
      <c r="I1197" s="1169" t="s">
        <v>420</v>
      </c>
      <c r="J1197" s="1169"/>
      <c r="K1197" s="1169"/>
      <c r="L1197" s="1169" t="s">
        <v>419</v>
      </c>
      <c r="M1197" s="1169"/>
      <c r="N1197" s="1169"/>
      <c r="O1197" s="1170" t="s">
        <v>420</v>
      </c>
      <c r="P1197" s="1170"/>
      <c r="Q1197" s="1170"/>
      <c r="R1197" s="1173">
        <f>R1184</f>
        <v>2017</v>
      </c>
      <c r="S1197" s="1174"/>
      <c r="T1197" s="1174"/>
      <c r="U1197" s="1175"/>
      <c r="V1197" s="1074"/>
      <c r="W1197" s="1073"/>
      <c r="X1197" s="1073"/>
      <c r="Y1197" s="1045" t="s">
        <v>1677</v>
      </c>
      <c r="Z1197" s="1073"/>
      <c r="AA1197" s="1073"/>
      <c r="AB1197" s="1073"/>
      <c r="AC1197" s="1085" t="s">
        <v>1676</v>
      </c>
      <c r="AD1197" s="1086"/>
      <c r="AE1197" s="1086"/>
      <c r="AF1197" s="1086"/>
    </row>
    <row r="1198" spans="1:32" s="141" customFormat="1" ht="27.75" customHeight="1">
      <c r="A1198" s="821" t="str">
        <f>C1192</f>
        <v>Bangunan Air Kotor</v>
      </c>
      <c r="B1198" s="1158">
        <f>'4.NERACA'!D116</f>
        <v>195667000</v>
      </c>
      <c r="C1198" s="1159"/>
      <c r="D1198" s="1159"/>
      <c r="E1198" s="1160"/>
      <c r="F1198" s="1158">
        <f>'4.NERACA'!E116</f>
        <v>0</v>
      </c>
      <c r="G1198" s="1159"/>
      <c r="H1198" s="1160"/>
      <c r="I1198" s="1158">
        <f>'4.NERACA'!F116</f>
        <v>0</v>
      </c>
      <c r="J1198" s="1159"/>
      <c r="K1198" s="1160"/>
      <c r="L1198" s="1158">
        <f>'4.NERACA'!G116</f>
        <v>0</v>
      </c>
      <c r="M1198" s="1159"/>
      <c r="N1198" s="1160"/>
      <c r="O1198" s="1158">
        <f>'4.NERACA'!H116</f>
        <v>0</v>
      </c>
      <c r="P1198" s="1159"/>
      <c r="Q1198" s="1160"/>
      <c r="R1198" s="1158">
        <f>B1198+F1198-I1198+L1198-O1198</f>
        <v>195667000</v>
      </c>
      <c r="S1198" s="1159"/>
      <c r="T1198" s="1159"/>
      <c r="U1198" s="1160"/>
      <c r="V1198" s="1072"/>
      <c r="W1198" s="1073"/>
      <c r="X1198" s="1073"/>
      <c r="Y1198" s="1045">
        <f>(R1198-B1198)/B1198*100</f>
        <v>0</v>
      </c>
      <c r="Z1198" s="1073"/>
      <c r="AA1198" s="1073"/>
      <c r="AB1198" s="1073"/>
      <c r="AC1198" s="1045">
        <f>R1198-B1198</f>
        <v>0</v>
      </c>
      <c r="AD1198" s="1046"/>
      <c r="AE1198" s="1046"/>
      <c r="AF1198" s="1046"/>
    </row>
    <row r="1199" spans="1:22" s="141" customFormat="1" ht="30" customHeight="1">
      <c r="A1199" s="81"/>
      <c r="B1199" s="1452" t="s">
        <v>766</v>
      </c>
      <c r="C1199" s="1452"/>
      <c r="D1199" s="1452"/>
      <c r="E1199" s="1452"/>
      <c r="F1199" s="1452"/>
      <c r="G1199" s="1452"/>
      <c r="H1199" s="1452"/>
      <c r="I1199" s="1452"/>
      <c r="J1199" s="1452"/>
      <c r="K1199" s="1452"/>
      <c r="L1199" s="1452"/>
      <c r="M1199" s="1452"/>
      <c r="N1199" s="1452"/>
      <c r="O1199" s="1452"/>
      <c r="P1199" s="1452"/>
      <c r="Q1199" s="1452"/>
      <c r="R1199" s="1452"/>
      <c r="S1199" s="1452"/>
      <c r="T1199" s="1452"/>
      <c r="U1199" s="1452"/>
      <c r="V1199" s="52"/>
    </row>
    <row r="1200" spans="1:22" s="141" customFormat="1" ht="15" customHeight="1">
      <c r="A1200" s="81"/>
      <c r="B1200" s="629"/>
      <c r="C1200" s="1337" t="s">
        <v>1562</v>
      </c>
      <c r="D1200" s="1337"/>
      <c r="E1200" s="1337"/>
      <c r="F1200" s="1337"/>
      <c r="G1200" s="1337"/>
      <c r="H1200" s="1337"/>
      <c r="I1200" s="1337"/>
      <c r="J1200" s="1337"/>
      <c r="K1200" s="1337"/>
      <c r="L1200" s="1337"/>
      <c r="M1200" s="1337"/>
      <c r="N1200" s="1337"/>
      <c r="O1200" s="1337"/>
      <c r="P1200" s="1337"/>
      <c r="Q1200" s="1337"/>
      <c r="R1200" s="1337"/>
      <c r="S1200" s="1337"/>
      <c r="T1200" s="1337"/>
      <c r="U1200" s="1337"/>
      <c r="V1200" s="52"/>
    </row>
    <row r="1201" spans="1:22" s="141" customFormat="1" ht="13.5" customHeight="1">
      <c r="A1201" s="81"/>
      <c r="B1201" s="629"/>
      <c r="C1201" s="1168" t="s">
        <v>1575</v>
      </c>
      <c r="D1201" s="1168"/>
      <c r="E1201" s="1168"/>
      <c r="F1201" s="1168"/>
      <c r="G1201" s="1168"/>
      <c r="H1201" s="1168"/>
      <c r="I1201" s="1168"/>
      <c r="J1201" s="1168"/>
      <c r="K1201" s="1168"/>
      <c r="L1201" s="1168"/>
      <c r="M1201" s="1168"/>
      <c r="N1201" s="1168"/>
      <c r="O1201" s="1168"/>
      <c r="P1201" s="1168"/>
      <c r="Q1201" s="1168"/>
      <c r="R1201" s="1168"/>
      <c r="S1201" s="1168"/>
      <c r="T1201" s="1168"/>
      <c r="U1201" s="1168"/>
      <c r="V1201" s="52"/>
    </row>
    <row r="1202" spans="1:22" s="141" customFormat="1" ht="15" customHeight="1">
      <c r="A1202" s="81"/>
      <c r="B1202" s="629"/>
      <c r="C1202" s="1168" t="s">
        <v>1563</v>
      </c>
      <c r="D1202" s="1168"/>
      <c r="E1202" s="1168"/>
      <c r="F1202" s="1168"/>
      <c r="G1202" s="1168"/>
      <c r="H1202" s="1168"/>
      <c r="I1202" s="1168"/>
      <c r="J1202" s="1168"/>
      <c r="K1202" s="1168"/>
      <c r="L1202" s="1168"/>
      <c r="M1202" s="1168"/>
      <c r="N1202" s="1168"/>
      <c r="O1202" s="1168"/>
      <c r="P1202" s="1168"/>
      <c r="Q1202" s="1168"/>
      <c r="R1202" s="1168"/>
      <c r="S1202" s="1168"/>
      <c r="T1202" s="1168"/>
      <c r="U1202" s="1168"/>
      <c r="V1202" s="52"/>
    </row>
    <row r="1203" spans="1:22" s="141" customFormat="1" ht="14.25" customHeight="1">
      <c r="A1203" s="81"/>
      <c r="B1203" s="10"/>
      <c r="C1203" s="1168" t="s">
        <v>1575</v>
      </c>
      <c r="D1203" s="1168"/>
      <c r="E1203" s="1168"/>
      <c r="F1203" s="1168"/>
      <c r="G1203" s="1168"/>
      <c r="H1203" s="1168"/>
      <c r="I1203" s="1168"/>
      <c r="J1203" s="1168"/>
      <c r="K1203" s="1168"/>
      <c r="L1203" s="1168"/>
      <c r="M1203" s="1168"/>
      <c r="N1203" s="1168"/>
      <c r="O1203" s="1168"/>
      <c r="P1203" s="1168"/>
      <c r="Q1203" s="1168"/>
      <c r="R1203" s="1168"/>
      <c r="S1203" s="1168"/>
      <c r="T1203" s="1168"/>
      <c r="U1203" s="1168"/>
      <c r="V1203" s="52"/>
    </row>
    <row r="1204" spans="1:22" s="141" customFormat="1" ht="15" customHeight="1">
      <c r="A1204" s="82"/>
      <c r="B1204" s="774" t="s">
        <v>1410</v>
      </c>
      <c r="C1204" s="1111" t="str">
        <f>'4.NERACA'!C117</f>
        <v>Bangunan Air</v>
      </c>
      <c r="D1204" s="1111"/>
      <c r="E1204" s="1111"/>
      <c r="F1204" s="1111"/>
      <c r="G1204" s="1111"/>
      <c r="H1204" s="1111"/>
      <c r="I1204" s="1111"/>
      <c r="J1204" s="1111"/>
      <c r="K1204" s="1111"/>
      <c r="L1204" s="1111"/>
      <c r="M1204" s="1111"/>
      <c r="N1204" s="1111"/>
      <c r="O1204" s="1111"/>
      <c r="P1204" s="1111"/>
      <c r="Q1204" s="1111"/>
      <c r="R1204" s="1111"/>
      <c r="S1204" s="1111"/>
      <c r="T1204" s="1111"/>
      <c r="U1204" s="1111"/>
      <c r="V1204" s="52"/>
    </row>
    <row r="1205" spans="1:22" s="141" customFormat="1" ht="15">
      <c r="A1205" s="82"/>
      <c r="C1205" s="1091" t="s">
        <v>1575</v>
      </c>
      <c r="D1205" s="1091"/>
      <c r="E1205" s="1091"/>
      <c r="F1205" s="1091"/>
      <c r="G1205" s="1091"/>
      <c r="H1205" s="1091"/>
      <c r="I1205" s="1091"/>
      <c r="J1205" s="1091"/>
      <c r="K1205" s="1091"/>
      <c r="L1205" s="1091"/>
      <c r="M1205" s="1091"/>
      <c r="N1205" s="1091"/>
      <c r="O1205" s="1091"/>
      <c r="P1205" s="1091"/>
      <c r="Q1205" s="1091"/>
      <c r="R1205" s="1091"/>
      <c r="S1205" s="1091"/>
      <c r="T1205" s="1091"/>
      <c r="U1205" s="1091"/>
      <c r="V1205" s="52"/>
    </row>
    <row r="1206" spans="1:22" s="141" customFormat="1" ht="16.5" customHeight="1">
      <c r="A1206" s="82"/>
      <c r="B1206" s="774" t="s">
        <v>1411</v>
      </c>
      <c r="C1206" s="1111" t="str">
        <f>'4.NERACA'!C118</f>
        <v>Jarinagn Air Minum</v>
      </c>
      <c r="D1206" s="1111"/>
      <c r="E1206" s="1111"/>
      <c r="F1206" s="1111"/>
      <c r="G1206" s="1111"/>
      <c r="H1206" s="1111"/>
      <c r="I1206" s="1111"/>
      <c r="J1206" s="1111"/>
      <c r="K1206" s="1111"/>
      <c r="L1206" s="1111"/>
      <c r="M1206" s="1111"/>
      <c r="N1206" s="1111"/>
      <c r="O1206" s="1111"/>
      <c r="P1206" s="1111"/>
      <c r="Q1206" s="1111"/>
      <c r="R1206" s="1111"/>
      <c r="S1206" s="1111"/>
      <c r="T1206" s="1111"/>
      <c r="U1206" s="1111"/>
      <c r="V1206" s="52"/>
    </row>
    <row r="1207" spans="1:22" s="141" customFormat="1" ht="59.25" customHeight="1">
      <c r="A1207" s="82"/>
      <c r="C1207" s="1091" t="str">
        <f>"Nilai aset tetap berupa "&amp;C1206&amp;"  per "&amp;'2.ISIAN DATA SKPD'!D8&amp;" dan  "&amp;'2.ISIAN DATA SKPD'!D12&amp;" adalah sebesar Rp. "&amp;FIXED(R1212)&amp;" dan Rp. "&amp;FIXED(B1212)&amp;"tidak  mengalami kenaikan/penurunan sebesar Rp. "&amp;FIXED(AC1212)&amp;" atau sebesar "&amp;FIXED(Y1212)&amp;"% dari tahun "&amp;'2.ISIAN DATA SKPD'!D12&amp;"."</f>
        <v>Nilai aset tetap berupa Jarinagn Air Minum  per 31 Desember 2017 dan  2016 adalah sebesar Rp. 145,700,000.00 dan Rp. 145,700,000.00tidak  mengalami kenaikan/penurunan sebesar Rp. 0.00 atau sebesar 0.00% dari tahun 2016.</v>
      </c>
      <c r="D1207" s="1091"/>
      <c r="E1207" s="1091"/>
      <c r="F1207" s="1091"/>
      <c r="G1207" s="1091"/>
      <c r="H1207" s="1091"/>
      <c r="I1207" s="1091"/>
      <c r="J1207" s="1091"/>
      <c r="K1207" s="1091"/>
      <c r="L1207" s="1091"/>
      <c r="M1207" s="1091"/>
      <c r="N1207" s="1091"/>
      <c r="O1207" s="1091"/>
      <c r="P1207" s="1091"/>
      <c r="Q1207" s="1091"/>
      <c r="R1207" s="1091"/>
      <c r="S1207" s="1091"/>
      <c r="T1207" s="1091"/>
      <c r="U1207" s="1091"/>
      <c r="V1207" s="52"/>
    </row>
    <row r="1208" spans="1:22" s="141" customFormat="1" ht="15.75" customHeight="1">
      <c r="A1208" s="82"/>
      <c r="C1208" s="1091" t="str">
        <f>"Dengan mutasi  selama tahun "&amp;'2.ISIAN DATA SKPD'!D11&amp;" sebagai berikut :"</f>
        <v>Dengan mutasi  selama tahun 2017 sebagai berikut :</v>
      </c>
      <c r="D1208" s="1091"/>
      <c r="E1208" s="1091"/>
      <c r="F1208" s="1091"/>
      <c r="G1208" s="1091"/>
      <c r="H1208" s="1091"/>
      <c r="I1208" s="1091"/>
      <c r="J1208" s="1091"/>
      <c r="K1208" s="1091"/>
      <c r="L1208" s="1091"/>
      <c r="M1208" s="1091"/>
      <c r="N1208" s="1091"/>
      <c r="O1208" s="1091"/>
      <c r="P1208" s="1091"/>
      <c r="Q1208" s="1091"/>
      <c r="R1208" s="1091"/>
      <c r="S1208" s="1091"/>
      <c r="T1208" s="1091"/>
      <c r="U1208" s="1091"/>
      <c r="V1208" s="52"/>
    </row>
    <row r="1209" spans="1:22" s="141" customFormat="1" ht="8.25" customHeight="1">
      <c r="A1209" s="82"/>
      <c r="C1209" s="783"/>
      <c r="D1209" s="783"/>
      <c r="E1209" s="783"/>
      <c r="F1209" s="783"/>
      <c r="G1209" s="783"/>
      <c r="H1209" s="783"/>
      <c r="I1209" s="783"/>
      <c r="J1209" s="783"/>
      <c r="K1209" s="783"/>
      <c r="L1209" s="783"/>
      <c r="M1209" s="783"/>
      <c r="N1209" s="783"/>
      <c r="O1209" s="783"/>
      <c r="P1209" s="783"/>
      <c r="Q1209" s="783"/>
      <c r="R1209" s="783"/>
      <c r="S1209" s="783"/>
      <c r="T1209" s="783"/>
      <c r="U1209" s="783"/>
      <c r="V1209" s="52"/>
    </row>
    <row r="1210" spans="1:22" s="141" customFormat="1" ht="15" customHeight="1">
      <c r="A1210" s="1156" t="s">
        <v>9</v>
      </c>
      <c r="B1210" s="1408" t="s">
        <v>762</v>
      </c>
      <c r="C1210" s="1409"/>
      <c r="D1210" s="1409"/>
      <c r="E1210" s="1410"/>
      <c r="F1210" s="1178" t="s">
        <v>190</v>
      </c>
      <c r="G1210" s="1178"/>
      <c r="H1210" s="1178"/>
      <c r="I1210" s="1178"/>
      <c r="J1210" s="1178"/>
      <c r="K1210" s="1178"/>
      <c r="L1210" s="1178" t="s">
        <v>761</v>
      </c>
      <c r="M1210" s="1178"/>
      <c r="N1210" s="1178"/>
      <c r="O1210" s="1178"/>
      <c r="P1210" s="1178"/>
      <c r="Q1210" s="1178"/>
      <c r="R1210" s="1169" t="s">
        <v>763</v>
      </c>
      <c r="S1210" s="1169"/>
      <c r="T1210" s="1169"/>
      <c r="U1210" s="1169"/>
      <c r="V1210" s="52"/>
    </row>
    <row r="1211" spans="1:32" s="141" customFormat="1" ht="15" customHeight="1">
      <c r="A1211" s="1157"/>
      <c r="B1211" s="1161">
        <v>2016</v>
      </c>
      <c r="C1211" s="1162"/>
      <c r="D1211" s="1162"/>
      <c r="E1211" s="1163"/>
      <c r="F1211" s="1169" t="s">
        <v>419</v>
      </c>
      <c r="G1211" s="1169"/>
      <c r="H1211" s="1169"/>
      <c r="I1211" s="1169" t="s">
        <v>420</v>
      </c>
      <c r="J1211" s="1169"/>
      <c r="K1211" s="1169"/>
      <c r="L1211" s="1169" t="s">
        <v>419</v>
      </c>
      <c r="M1211" s="1169"/>
      <c r="N1211" s="1169"/>
      <c r="O1211" s="1170" t="s">
        <v>420</v>
      </c>
      <c r="P1211" s="1170"/>
      <c r="Q1211" s="1170"/>
      <c r="R1211" s="1173">
        <v>2017</v>
      </c>
      <c r="S1211" s="1174"/>
      <c r="T1211" s="1174"/>
      <c r="U1211" s="1175"/>
      <c r="V1211" s="1074"/>
      <c r="W1211" s="1073"/>
      <c r="X1211" s="1073"/>
      <c r="Y1211" s="1045" t="s">
        <v>1677</v>
      </c>
      <c r="Z1211" s="1073"/>
      <c r="AA1211" s="1073"/>
      <c r="AB1211" s="1073"/>
      <c r="AC1211" s="1085" t="s">
        <v>1676</v>
      </c>
      <c r="AD1211" s="1086"/>
      <c r="AE1211" s="1086"/>
      <c r="AF1211" s="1086"/>
    </row>
    <row r="1212" spans="1:32" s="141" customFormat="1" ht="30.75" customHeight="1">
      <c r="A1212" s="824" t="str">
        <f>C1206</f>
        <v>Jarinagn Air Minum</v>
      </c>
      <c r="B1212" s="1158">
        <f>'4.NERACA'!D118</f>
        <v>145700000</v>
      </c>
      <c r="C1212" s="1159"/>
      <c r="D1212" s="1159"/>
      <c r="E1212" s="1160"/>
      <c r="F1212" s="1158">
        <f>'4.NERACA'!E118</f>
        <v>0</v>
      </c>
      <c r="G1212" s="1159"/>
      <c r="H1212" s="1160"/>
      <c r="I1212" s="1158">
        <f>'4.NERACA'!F118</f>
        <v>0</v>
      </c>
      <c r="J1212" s="1159"/>
      <c r="K1212" s="1160"/>
      <c r="L1212" s="1158">
        <f>'4.NERACA'!G118</f>
        <v>0</v>
      </c>
      <c r="M1212" s="1159"/>
      <c r="N1212" s="1160"/>
      <c r="O1212" s="1158">
        <f>'4.NERACA'!H118</f>
        <v>0</v>
      </c>
      <c r="P1212" s="1159"/>
      <c r="Q1212" s="1160"/>
      <c r="R1212" s="1158">
        <f>B1212+F1212-I1212+L1212-O1212</f>
        <v>145700000</v>
      </c>
      <c r="S1212" s="1159"/>
      <c r="T1212" s="1159"/>
      <c r="U1212" s="1160"/>
      <c r="V1212" s="1072"/>
      <c r="W1212" s="1073"/>
      <c r="X1212" s="1073"/>
      <c r="Y1212" s="1045">
        <f>(R1212-B1212)/B1212*100</f>
        <v>0</v>
      </c>
      <c r="Z1212" s="1073"/>
      <c r="AA1212" s="1073"/>
      <c r="AB1212" s="1073"/>
      <c r="AC1212" s="1045">
        <f>R1212-B1212</f>
        <v>0</v>
      </c>
      <c r="AD1212" s="1046"/>
      <c r="AE1212" s="1046"/>
      <c r="AF1212" s="1046"/>
    </row>
    <row r="1213" spans="1:22" s="141" customFormat="1" ht="15">
      <c r="A1213" s="81"/>
      <c r="B1213" s="1452" t="s">
        <v>766</v>
      </c>
      <c r="C1213" s="1452"/>
      <c r="D1213" s="1452"/>
      <c r="E1213" s="1452"/>
      <c r="F1213" s="1452"/>
      <c r="G1213" s="1452"/>
      <c r="H1213" s="1452"/>
      <c r="I1213" s="1452"/>
      <c r="J1213" s="1452"/>
      <c r="K1213" s="1452"/>
      <c r="L1213" s="1452"/>
      <c r="M1213" s="1452"/>
      <c r="N1213" s="1452"/>
      <c r="O1213" s="1452"/>
      <c r="P1213" s="1452"/>
      <c r="Q1213" s="1452"/>
      <c r="R1213" s="1452"/>
      <c r="S1213" s="1452"/>
      <c r="T1213" s="1452"/>
      <c r="U1213" s="1452"/>
      <c r="V1213" s="52"/>
    </row>
    <row r="1214" spans="1:22" s="141" customFormat="1" ht="15" customHeight="1">
      <c r="A1214" s="81"/>
      <c r="B1214" s="629"/>
      <c r="C1214" s="1337" t="s">
        <v>1562</v>
      </c>
      <c r="D1214" s="1337"/>
      <c r="E1214" s="1337"/>
      <c r="F1214" s="1337"/>
      <c r="G1214" s="1337"/>
      <c r="H1214" s="1337"/>
      <c r="I1214" s="1337"/>
      <c r="J1214" s="1337"/>
      <c r="K1214" s="1337"/>
      <c r="L1214" s="1337"/>
      <c r="M1214" s="1337"/>
      <c r="N1214" s="1337"/>
      <c r="O1214" s="1337"/>
      <c r="P1214" s="1337"/>
      <c r="Q1214" s="1337"/>
      <c r="R1214" s="1337"/>
      <c r="S1214" s="1337"/>
      <c r="T1214" s="1337"/>
      <c r="U1214" s="1337"/>
      <c r="V1214" s="52"/>
    </row>
    <row r="1215" spans="1:22" s="141" customFormat="1" ht="14.25" customHeight="1">
      <c r="A1215" s="81"/>
      <c r="B1215" s="629"/>
      <c r="C1215" s="1168" t="s">
        <v>1575</v>
      </c>
      <c r="D1215" s="1168"/>
      <c r="E1215" s="1168"/>
      <c r="F1215" s="1168"/>
      <c r="G1215" s="1168"/>
      <c r="H1215" s="1168"/>
      <c r="I1215" s="1168"/>
      <c r="J1215" s="1168"/>
      <c r="K1215" s="1168"/>
      <c r="L1215" s="1168"/>
      <c r="M1215" s="1168"/>
      <c r="N1215" s="1168"/>
      <c r="O1215" s="1168"/>
      <c r="P1215" s="1168"/>
      <c r="Q1215" s="1168"/>
      <c r="R1215" s="1168"/>
      <c r="S1215" s="1168"/>
      <c r="T1215" s="1168"/>
      <c r="U1215" s="1168"/>
      <c r="V1215" s="52"/>
    </row>
    <row r="1216" spans="1:22" s="141" customFormat="1" ht="15" customHeight="1">
      <c r="A1216" s="81"/>
      <c r="B1216" s="629"/>
      <c r="C1216" s="1168" t="s">
        <v>1563</v>
      </c>
      <c r="D1216" s="1168"/>
      <c r="E1216" s="1168"/>
      <c r="F1216" s="1168"/>
      <c r="G1216" s="1168"/>
      <c r="H1216" s="1168"/>
      <c r="I1216" s="1168"/>
      <c r="J1216" s="1168"/>
      <c r="K1216" s="1168"/>
      <c r="L1216" s="1168"/>
      <c r="M1216" s="1168"/>
      <c r="N1216" s="1168"/>
      <c r="O1216" s="1168"/>
      <c r="P1216" s="1168"/>
      <c r="Q1216" s="1168"/>
      <c r="R1216" s="1168"/>
      <c r="S1216" s="1168"/>
      <c r="T1216" s="1168"/>
      <c r="U1216" s="1168"/>
      <c r="V1216" s="52"/>
    </row>
    <row r="1217" spans="1:22" s="141" customFormat="1" ht="16.5" customHeight="1">
      <c r="A1217" s="81"/>
      <c r="B1217" s="10"/>
      <c r="C1217" s="1168" t="s">
        <v>1575</v>
      </c>
      <c r="D1217" s="1168"/>
      <c r="E1217" s="1168"/>
      <c r="F1217" s="1168"/>
      <c r="G1217" s="1168"/>
      <c r="H1217" s="1168"/>
      <c r="I1217" s="1168"/>
      <c r="J1217" s="1168"/>
      <c r="K1217" s="1168"/>
      <c r="L1217" s="1168"/>
      <c r="M1217" s="1168"/>
      <c r="N1217" s="1168"/>
      <c r="O1217" s="1168"/>
      <c r="P1217" s="1168"/>
      <c r="Q1217" s="1168"/>
      <c r="R1217" s="1168"/>
      <c r="S1217" s="1168"/>
      <c r="T1217" s="1168"/>
      <c r="U1217" s="1168"/>
      <c r="V1217" s="52"/>
    </row>
    <row r="1218" spans="1:22" s="141" customFormat="1" ht="6.75" customHeight="1">
      <c r="A1218" s="82"/>
      <c r="B1218" s="626"/>
      <c r="C1218" s="626"/>
      <c r="D1218" s="626"/>
      <c r="E1218" s="626"/>
      <c r="F1218" s="626"/>
      <c r="G1218" s="626"/>
      <c r="H1218" s="626"/>
      <c r="I1218" s="626"/>
      <c r="J1218" s="626"/>
      <c r="K1218" s="626"/>
      <c r="L1218" s="626"/>
      <c r="M1218" s="626"/>
      <c r="N1218" s="5"/>
      <c r="O1218" s="5"/>
      <c r="P1218" s="5"/>
      <c r="Q1218" s="5"/>
      <c r="R1218" s="5"/>
      <c r="S1218" s="5"/>
      <c r="T1218" s="5"/>
      <c r="U1218" s="5"/>
      <c r="V1218" s="52"/>
    </row>
    <row r="1219" spans="1:22" s="141" customFormat="1" ht="15" customHeight="1">
      <c r="A1219" s="82"/>
      <c r="B1219" s="774" t="s">
        <v>1412</v>
      </c>
      <c r="C1219" s="1111" t="str">
        <f>'4.NERACA'!C119</f>
        <v>Jarinagn Listrik</v>
      </c>
      <c r="D1219" s="1111"/>
      <c r="E1219" s="1111"/>
      <c r="F1219" s="1111"/>
      <c r="G1219" s="1111"/>
      <c r="H1219" s="1111"/>
      <c r="I1219" s="1111"/>
      <c r="J1219" s="1111"/>
      <c r="K1219" s="1111"/>
      <c r="L1219" s="1111"/>
      <c r="M1219" s="1111"/>
      <c r="N1219" s="1111"/>
      <c r="O1219" s="1111"/>
      <c r="P1219" s="1111"/>
      <c r="Q1219" s="1111"/>
      <c r="R1219" s="1111"/>
      <c r="S1219" s="1111"/>
      <c r="T1219" s="1111"/>
      <c r="U1219" s="1111"/>
      <c r="V1219" s="52"/>
    </row>
    <row r="1220" spans="1:22" s="141" customFormat="1" ht="60" customHeight="1">
      <c r="A1220" s="82"/>
      <c r="C1220" s="1091" t="str">
        <f>"Nilai aset tetap berupa "&amp;C1219&amp;"  per "&amp;'2.ISIAN DATA SKPD'!D8&amp;" dan  "&amp;'2.ISIAN DATA SKPD'!D12&amp;" adalah sebesar Rp. "&amp;FIXED(R1225)&amp;" dan Rp. "&amp;FIXED(B1225)&amp;" tidak mengalami kenaikan/penurunan sebesar Rp. "&amp;FIXED('4.NERACA'!K119)&amp;" atau sebesar "&amp;FIXED('4.NERACA'!J119)&amp;" dari tahun "&amp;'2.ISIAN DATA SKPD'!D12&amp;"."</f>
        <v>Nilai aset tetap berupa Jarinagn Listrik  per 31 Desember 2017 dan  2016 adalah sebesar Rp. 360,792,550.00 dan Rp. 360,792,550.00 tidak mengalami kenaikan/penurunan sebesar Rp. 0.00 atau sebesar 0.00 dari tahun 2016.</v>
      </c>
      <c r="D1220" s="1091"/>
      <c r="E1220" s="1091"/>
      <c r="F1220" s="1091"/>
      <c r="G1220" s="1091"/>
      <c r="H1220" s="1091"/>
      <c r="I1220" s="1091"/>
      <c r="J1220" s="1091"/>
      <c r="K1220" s="1091"/>
      <c r="L1220" s="1091"/>
      <c r="M1220" s="1091"/>
      <c r="N1220" s="1091"/>
      <c r="O1220" s="1091"/>
      <c r="P1220" s="1091"/>
      <c r="Q1220" s="1091"/>
      <c r="R1220" s="1091"/>
      <c r="S1220" s="1091"/>
      <c r="T1220" s="1091"/>
      <c r="U1220" s="1091"/>
      <c r="V1220" s="52"/>
    </row>
    <row r="1221" spans="1:22" s="141" customFormat="1" ht="15.75" customHeight="1">
      <c r="A1221" s="82"/>
      <c r="B1221" s="12"/>
      <c r="C1221" s="1091" t="str">
        <f>"Dengan mutasi  selama tahun "&amp;'2.ISIAN DATA SKPD'!D11&amp;" sebagai berikut :"</f>
        <v>Dengan mutasi  selama tahun 2017 sebagai berikut :</v>
      </c>
      <c r="D1221" s="1091"/>
      <c r="E1221" s="1091"/>
      <c r="F1221" s="1091"/>
      <c r="G1221" s="1091"/>
      <c r="H1221" s="1091"/>
      <c r="I1221" s="1091"/>
      <c r="J1221" s="1091"/>
      <c r="K1221" s="1091"/>
      <c r="L1221" s="1091"/>
      <c r="M1221" s="1091"/>
      <c r="N1221" s="1091"/>
      <c r="O1221" s="1091"/>
      <c r="P1221" s="1091"/>
      <c r="Q1221" s="1091"/>
      <c r="R1221" s="1091"/>
      <c r="S1221" s="1091"/>
      <c r="T1221" s="1091"/>
      <c r="U1221" s="1091"/>
      <c r="V1221" s="52"/>
    </row>
    <row r="1222" spans="1:22" s="141" customFormat="1" ht="5.25" customHeight="1">
      <c r="A1222" s="82"/>
      <c r="B1222" s="749"/>
      <c r="C1222" s="783"/>
      <c r="D1222" s="783"/>
      <c r="E1222" s="783"/>
      <c r="F1222" s="783"/>
      <c r="G1222" s="783"/>
      <c r="H1222" s="783"/>
      <c r="I1222" s="783"/>
      <c r="J1222" s="783"/>
      <c r="K1222" s="783"/>
      <c r="L1222" s="783"/>
      <c r="M1222" s="783"/>
      <c r="N1222" s="783"/>
      <c r="O1222" s="783"/>
      <c r="P1222" s="783"/>
      <c r="Q1222" s="783"/>
      <c r="R1222" s="783"/>
      <c r="S1222" s="783"/>
      <c r="T1222" s="783"/>
      <c r="U1222" s="783"/>
      <c r="V1222" s="52"/>
    </row>
    <row r="1223" spans="1:22" s="141" customFormat="1" ht="15" customHeight="1">
      <c r="A1223" s="1156" t="s">
        <v>9</v>
      </c>
      <c r="B1223" s="1408" t="s">
        <v>762</v>
      </c>
      <c r="C1223" s="1409"/>
      <c r="D1223" s="1409"/>
      <c r="E1223" s="1410"/>
      <c r="F1223" s="1178" t="s">
        <v>190</v>
      </c>
      <c r="G1223" s="1178"/>
      <c r="H1223" s="1178"/>
      <c r="I1223" s="1178"/>
      <c r="J1223" s="1178"/>
      <c r="K1223" s="1178"/>
      <c r="L1223" s="1178" t="s">
        <v>761</v>
      </c>
      <c r="M1223" s="1178"/>
      <c r="N1223" s="1178"/>
      <c r="O1223" s="1178"/>
      <c r="P1223" s="1178"/>
      <c r="Q1223" s="1178"/>
      <c r="R1223" s="1169" t="s">
        <v>763</v>
      </c>
      <c r="S1223" s="1169"/>
      <c r="T1223" s="1169"/>
      <c r="U1223" s="1169"/>
      <c r="V1223" s="52"/>
    </row>
    <row r="1224" spans="1:32" s="141" customFormat="1" ht="15" customHeight="1">
      <c r="A1224" s="1157"/>
      <c r="B1224" s="1173">
        <f>B1211</f>
        <v>2016</v>
      </c>
      <c r="C1224" s="1174"/>
      <c r="D1224" s="1174"/>
      <c r="E1224" s="1175"/>
      <c r="F1224" s="1169" t="s">
        <v>419</v>
      </c>
      <c r="G1224" s="1169"/>
      <c r="H1224" s="1169"/>
      <c r="I1224" s="1169" t="s">
        <v>420</v>
      </c>
      <c r="J1224" s="1169"/>
      <c r="K1224" s="1169"/>
      <c r="L1224" s="1169" t="s">
        <v>419</v>
      </c>
      <c r="M1224" s="1169"/>
      <c r="N1224" s="1169"/>
      <c r="O1224" s="1170" t="s">
        <v>420</v>
      </c>
      <c r="P1224" s="1170"/>
      <c r="Q1224" s="1170"/>
      <c r="R1224" s="1173">
        <f>R1211</f>
        <v>2017</v>
      </c>
      <c r="S1224" s="1174"/>
      <c r="T1224" s="1174"/>
      <c r="U1224" s="1175"/>
      <c r="V1224" s="1074"/>
      <c r="W1224" s="1073"/>
      <c r="X1224" s="1073"/>
      <c r="Y1224" s="1045" t="s">
        <v>1677</v>
      </c>
      <c r="Z1224" s="1073"/>
      <c r="AA1224" s="1073"/>
      <c r="AB1224" s="1073"/>
      <c r="AC1224" s="1085" t="s">
        <v>1676</v>
      </c>
      <c r="AD1224" s="1086"/>
      <c r="AE1224" s="1086"/>
      <c r="AF1224" s="1086"/>
    </row>
    <row r="1225" spans="1:32" s="141" customFormat="1" ht="27.75" customHeight="1">
      <c r="A1225" s="824" t="str">
        <f>C1219</f>
        <v>Jarinagn Listrik</v>
      </c>
      <c r="B1225" s="1453">
        <f>'4.NERACA'!D119</f>
        <v>360792550</v>
      </c>
      <c r="C1225" s="1454"/>
      <c r="D1225" s="1454"/>
      <c r="E1225" s="1455"/>
      <c r="F1225" s="1453">
        <f>'4.NERACA'!E119</f>
        <v>0</v>
      </c>
      <c r="G1225" s="1454"/>
      <c r="H1225" s="1455"/>
      <c r="I1225" s="1453">
        <f>'4.NERACA'!F119</f>
        <v>0</v>
      </c>
      <c r="J1225" s="1454"/>
      <c r="K1225" s="1455"/>
      <c r="L1225" s="1453">
        <f>'4.NERACA'!G119</f>
        <v>0</v>
      </c>
      <c r="M1225" s="1454"/>
      <c r="N1225" s="1455"/>
      <c r="O1225" s="1453">
        <f>'4.NERACA'!H119</f>
        <v>0</v>
      </c>
      <c r="P1225" s="1454"/>
      <c r="Q1225" s="1455"/>
      <c r="R1225" s="1453">
        <f>B1225+F1225-I1225+L1225-O1225</f>
        <v>360792550</v>
      </c>
      <c r="S1225" s="1454"/>
      <c r="T1225" s="1454"/>
      <c r="U1225" s="1455"/>
      <c r="V1225" s="1072"/>
      <c r="W1225" s="1073"/>
      <c r="X1225" s="1073"/>
      <c r="Y1225" s="1045">
        <f>(R1225-B1225)/B1225*100</f>
        <v>0</v>
      </c>
      <c r="Z1225" s="1073"/>
      <c r="AA1225" s="1073"/>
      <c r="AB1225" s="1073"/>
      <c r="AC1225" s="1045">
        <f>R1225-B1225</f>
        <v>0</v>
      </c>
      <c r="AD1225" s="1046"/>
      <c r="AE1225" s="1046"/>
      <c r="AF1225" s="1046"/>
    </row>
    <row r="1226" spans="1:22" s="141" customFormat="1" ht="15" customHeight="1">
      <c r="A1226" s="825"/>
      <c r="B1226" s="1452" t="s">
        <v>766</v>
      </c>
      <c r="C1226" s="1452"/>
      <c r="D1226" s="1452"/>
      <c r="E1226" s="1452"/>
      <c r="F1226" s="1452"/>
      <c r="G1226" s="1452"/>
      <c r="H1226" s="1452"/>
      <c r="I1226" s="1452"/>
      <c r="J1226" s="1452"/>
      <c r="K1226" s="1452"/>
      <c r="L1226" s="1452"/>
      <c r="M1226" s="1452"/>
      <c r="N1226" s="1452"/>
      <c r="O1226" s="1452"/>
      <c r="P1226" s="1452"/>
      <c r="Q1226" s="1452"/>
      <c r="R1226" s="1452"/>
      <c r="S1226" s="1452"/>
      <c r="T1226" s="1452"/>
      <c r="U1226" s="1452"/>
      <c r="V1226" s="52"/>
    </row>
    <row r="1227" spans="1:22" s="141" customFormat="1" ht="15" customHeight="1">
      <c r="A1227" s="825"/>
      <c r="B1227" s="629"/>
      <c r="C1227" s="1337" t="s">
        <v>1562</v>
      </c>
      <c r="D1227" s="1337"/>
      <c r="E1227" s="1337"/>
      <c r="F1227" s="1337"/>
      <c r="G1227" s="1337"/>
      <c r="H1227" s="1337"/>
      <c r="I1227" s="1337"/>
      <c r="J1227" s="1337"/>
      <c r="K1227" s="1337"/>
      <c r="L1227" s="1337"/>
      <c r="M1227" s="1337"/>
      <c r="N1227" s="1337"/>
      <c r="O1227" s="1337"/>
      <c r="P1227" s="1337"/>
      <c r="Q1227" s="1337"/>
      <c r="R1227" s="1337"/>
      <c r="S1227" s="1337"/>
      <c r="T1227" s="1337"/>
      <c r="U1227" s="1337"/>
      <c r="V1227" s="52"/>
    </row>
    <row r="1228" spans="1:22" s="141" customFormat="1" ht="15.75" customHeight="1">
      <c r="A1228" s="825"/>
      <c r="B1228" s="629"/>
      <c r="C1228" s="1168" t="s">
        <v>1575</v>
      </c>
      <c r="D1228" s="1168"/>
      <c r="E1228" s="1168"/>
      <c r="F1228" s="1168"/>
      <c r="G1228" s="1168"/>
      <c r="H1228" s="1168"/>
      <c r="I1228" s="1168"/>
      <c r="J1228" s="1168"/>
      <c r="K1228" s="1168"/>
      <c r="L1228" s="1168"/>
      <c r="M1228" s="1168"/>
      <c r="N1228" s="1168"/>
      <c r="O1228" s="1168"/>
      <c r="P1228" s="1168"/>
      <c r="Q1228" s="1168"/>
      <c r="R1228" s="1168"/>
      <c r="S1228" s="1168"/>
      <c r="T1228" s="1168"/>
      <c r="U1228" s="1168"/>
      <c r="V1228" s="52"/>
    </row>
    <row r="1229" spans="1:22" s="141" customFormat="1" ht="13.5" customHeight="1">
      <c r="A1229" s="825"/>
      <c r="B1229" s="629"/>
      <c r="C1229" s="1168" t="s">
        <v>1563</v>
      </c>
      <c r="D1229" s="1168"/>
      <c r="E1229" s="1168"/>
      <c r="F1229" s="1168"/>
      <c r="G1229" s="1168"/>
      <c r="H1229" s="1168"/>
      <c r="I1229" s="1168"/>
      <c r="J1229" s="1168"/>
      <c r="K1229" s="1168"/>
      <c r="L1229" s="1168"/>
      <c r="M1229" s="1168"/>
      <c r="N1229" s="1168"/>
      <c r="O1229" s="1168"/>
      <c r="P1229" s="1168"/>
      <c r="Q1229" s="1168"/>
      <c r="R1229" s="1168"/>
      <c r="S1229" s="1168"/>
      <c r="T1229" s="1168"/>
      <c r="U1229" s="1168"/>
      <c r="V1229" s="52"/>
    </row>
    <row r="1230" spans="1:22" s="141" customFormat="1" ht="18" customHeight="1">
      <c r="A1230" s="81"/>
      <c r="B1230" s="10"/>
      <c r="C1230" s="1168" t="s">
        <v>1575</v>
      </c>
      <c r="D1230" s="1168"/>
      <c r="E1230" s="1168"/>
      <c r="F1230" s="1168"/>
      <c r="G1230" s="1168"/>
      <c r="H1230" s="1168"/>
      <c r="I1230" s="1168"/>
      <c r="J1230" s="1168"/>
      <c r="K1230" s="1168"/>
      <c r="L1230" s="1168"/>
      <c r="M1230" s="1168"/>
      <c r="N1230" s="1168"/>
      <c r="O1230" s="1168"/>
      <c r="P1230" s="1168"/>
      <c r="Q1230" s="1168"/>
      <c r="R1230" s="1168"/>
      <c r="S1230" s="1168"/>
      <c r="T1230" s="1168"/>
      <c r="U1230" s="1168"/>
      <c r="V1230" s="52"/>
    </row>
    <row r="1231" spans="1:22" s="141" customFormat="1" ht="3" customHeight="1">
      <c r="A1231" s="82"/>
      <c r="B1231" s="626"/>
      <c r="C1231" s="830"/>
      <c r="D1231" s="830"/>
      <c r="E1231" s="830"/>
      <c r="F1231" s="830"/>
      <c r="G1231" s="830"/>
      <c r="H1231" s="830"/>
      <c r="I1231" s="830"/>
      <c r="J1231" s="830"/>
      <c r="K1231" s="830"/>
      <c r="L1231" s="830"/>
      <c r="M1231" s="830"/>
      <c r="N1231" s="831"/>
      <c r="O1231" s="831"/>
      <c r="P1231" s="831"/>
      <c r="Q1231" s="831"/>
      <c r="R1231" s="831"/>
      <c r="S1231" s="831"/>
      <c r="T1231" s="831"/>
      <c r="U1231" s="831"/>
      <c r="V1231" s="52"/>
    </row>
    <row r="1232" spans="1:22" s="141" customFormat="1" ht="30.75" customHeight="1">
      <c r="A1232" s="82"/>
      <c r="B1232" s="1451" t="str">
        <f>"Rincian saldo Jalan, Jaringan dan Irigasi  per "&amp;'2.ISIAN DATA SKPD'!D8&amp;" adalah sebagai berikut:"</f>
        <v>Rincian saldo Jalan, Jaringan dan Irigasi  per 31 Desember 2017 adalah sebagai berikut:</v>
      </c>
      <c r="C1232" s="1451"/>
      <c r="D1232" s="1451"/>
      <c r="E1232" s="1451"/>
      <c r="F1232" s="1451"/>
      <c r="G1232" s="1451"/>
      <c r="H1232" s="1451"/>
      <c r="I1232" s="1451"/>
      <c r="J1232" s="1451"/>
      <c r="K1232" s="1451"/>
      <c r="L1232" s="1451"/>
      <c r="M1232" s="1451"/>
      <c r="N1232" s="1451"/>
      <c r="O1232" s="1451"/>
      <c r="P1232" s="1451"/>
      <c r="Q1232" s="1451"/>
      <c r="R1232" s="1451"/>
      <c r="S1232" s="1451"/>
      <c r="T1232" s="1451"/>
      <c r="U1232" s="1451"/>
      <c r="V1232" s="52"/>
    </row>
    <row r="1233" spans="1:22" s="141" customFormat="1" ht="24.75" customHeight="1">
      <c r="A1233" s="82"/>
      <c r="B1233" s="1066" t="s">
        <v>126</v>
      </c>
      <c r="C1233" s="1068"/>
      <c r="D1233" s="1066" t="s">
        <v>28</v>
      </c>
      <c r="E1233" s="1067"/>
      <c r="F1233" s="1067"/>
      <c r="G1233" s="1067"/>
      <c r="H1233" s="1067"/>
      <c r="I1233" s="1067"/>
      <c r="J1233" s="1067"/>
      <c r="K1233" s="1067"/>
      <c r="L1233" s="1067"/>
      <c r="M1233" s="1067"/>
      <c r="N1233" s="1067"/>
      <c r="O1233" s="1067"/>
      <c r="P1233" s="1068"/>
      <c r="Q1233" s="1066" t="s">
        <v>135</v>
      </c>
      <c r="R1233" s="1067"/>
      <c r="S1233" s="1067"/>
      <c r="T1233" s="1067"/>
      <c r="U1233" s="1068"/>
      <c r="V1233" s="52"/>
    </row>
    <row r="1234" spans="1:22" s="141" customFormat="1" ht="15" customHeight="1">
      <c r="A1234" s="82"/>
      <c r="B1234" s="1066">
        <v>1</v>
      </c>
      <c r="C1234" s="1068"/>
      <c r="D1234" s="1411" t="str">
        <f>'4.NERACA'!C110</f>
        <v>Jalan</v>
      </c>
      <c r="E1234" s="1412"/>
      <c r="F1234" s="1412"/>
      <c r="G1234" s="1412"/>
      <c r="H1234" s="1412"/>
      <c r="I1234" s="1412"/>
      <c r="J1234" s="1412"/>
      <c r="K1234" s="1412"/>
      <c r="L1234" s="1412"/>
      <c r="M1234" s="1412"/>
      <c r="N1234" s="1412"/>
      <c r="O1234" s="1412"/>
      <c r="P1234" s="1413"/>
      <c r="Q1234" s="1445">
        <f>'4.NERACA'!I110</f>
        <v>5814625536</v>
      </c>
      <c r="R1234" s="1446"/>
      <c r="S1234" s="1446"/>
      <c r="T1234" s="1446"/>
      <c r="U1234" s="1447"/>
      <c r="V1234" s="52"/>
    </row>
    <row r="1235" spans="1:22" s="141" customFormat="1" ht="15" customHeight="1">
      <c r="A1235" s="82"/>
      <c r="B1235" s="1066">
        <v>2</v>
      </c>
      <c r="C1235" s="1068"/>
      <c r="D1235" s="1411" t="str">
        <f>'4.NERACA'!C111</f>
        <v>Jembatan</v>
      </c>
      <c r="E1235" s="1412"/>
      <c r="F1235" s="1412"/>
      <c r="G1235" s="1412"/>
      <c r="H1235" s="1412"/>
      <c r="I1235" s="1412"/>
      <c r="J1235" s="1412"/>
      <c r="K1235" s="1412"/>
      <c r="L1235" s="1412"/>
      <c r="M1235" s="1412"/>
      <c r="N1235" s="1412"/>
      <c r="O1235" s="1412"/>
      <c r="P1235" s="1413"/>
      <c r="Q1235" s="1445">
        <f>'4.NERACA'!I111</f>
        <v>23750000</v>
      </c>
      <c r="R1235" s="1446"/>
      <c r="S1235" s="1446"/>
      <c r="T1235" s="1446"/>
      <c r="U1235" s="1447"/>
      <c r="V1235" s="52"/>
    </row>
    <row r="1236" spans="1:22" s="141" customFormat="1" ht="15.75" customHeight="1">
      <c r="A1236" s="82"/>
      <c r="B1236" s="1066">
        <v>3</v>
      </c>
      <c r="C1236" s="1068"/>
      <c r="D1236" s="1411" t="str">
        <f>'4.NERACA'!C112</f>
        <v>Bangunan Air Irigasi</v>
      </c>
      <c r="E1236" s="1412"/>
      <c r="F1236" s="1412"/>
      <c r="G1236" s="1412"/>
      <c r="H1236" s="1412"/>
      <c r="I1236" s="1412"/>
      <c r="J1236" s="1412"/>
      <c r="K1236" s="1412"/>
      <c r="L1236" s="1412"/>
      <c r="M1236" s="1412"/>
      <c r="N1236" s="1412"/>
      <c r="O1236" s="1412"/>
      <c r="P1236" s="1413"/>
      <c r="Q1236" s="1445">
        <f>'4.NERACA'!I112</f>
        <v>0</v>
      </c>
      <c r="R1236" s="1446"/>
      <c r="S1236" s="1446"/>
      <c r="T1236" s="1446"/>
      <c r="U1236" s="1447"/>
      <c r="V1236" s="52"/>
    </row>
    <row r="1237" spans="1:22" s="141" customFormat="1" ht="30.75" customHeight="1">
      <c r="A1237" s="82"/>
      <c r="B1237" s="1066">
        <v>4</v>
      </c>
      <c r="C1237" s="1068"/>
      <c r="D1237" s="1411" t="str">
        <f>'4.NERACA'!C113</f>
        <v>Bangunan Pengaman Sungai dan Penanggulangan Bencana Alam</v>
      </c>
      <c r="E1237" s="1412"/>
      <c r="F1237" s="1412"/>
      <c r="G1237" s="1412"/>
      <c r="H1237" s="1412"/>
      <c r="I1237" s="1412"/>
      <c r="J1237" s="1412"/>
      <c r="K1237" s="1412"/>
      <c r="L1237" s="1412"/>
      <c r="M1237" s="1412"/>
      <c r="N1237" s="1412"/>
      <c r="O1237" s="1412"/>
      <c r="P1237" s="1413"/>
      <c r="Q1237" s="1445">
        <f>'4.NERACA'!I113</f>
        <v>195386000</v>
      </c>
      <c r="R1237" s="1446"/>
      <c r="S1237" s="1446"/>
      <c r="T1237" s="1446"/>
      <c r="U1237" s="1447"/>
      <c r="V1237" s="52"/>
    </row>
    <row r="1238" spans="1:22" s="141" customFormat="1" ht="15" customHeight="1">
      <c r="A1238" s="82"/>
      <c r="B1238" s="1066">
        <v>5</v>
      </c>
      <c r="C1238" s="1068"/>
      <c r="D1238" s="1411" t="str">
        <f>'4.NERACA'!C114</f>
        <v>Bangunan Pengembangan Sumber Air dan Air Tanah</v>
      </c>
      <c r="E1238" s="1412"/>
      <c r="F1238" s="1412"/>
      <c r="G1238" s="1412"/>
      <c r="H1238" s="1412"/>
      <c r="I1238" s="1412"/>
      <c r="J1238" s="1412"/>
      <c r="K1238" s="1412"/>
      <c r="L1238" s="1412"/>
      <c r="M1238" s="1412"/>
      <c r="N1238" s="1412"/>
      <c r="O1238" s="1412"/>
      <c r="P1238" s="1413"/>
      <c r="Q1238" s="1445">
        <f>'4.NERACA'!I114</f>
        <v>0</v>
      </c>
      <c r="R1238" s="1446"/>
      <c r="S1238" s="1446"/>
      <c r="T1238" s="1446"/>
      <c r="U1238" s="1447"/>
      <c r="V1238" s="52"/>
    </row>
    <row r="1239" spans="1:22" s="141" customFormat="1" ht="15" customHeight="1">
      <c r="A1239" s="82"/>
      <c r="B1239" s="1066">
        <v>6</v>
      </c>
      <c r="C1239" s="1068"/>
      <c r="D1239" s="1411" t="str">
        <f>'4.NERACA'!C115</f>
        <v>Bangunan Air Bersih/Baku</v>
      </c>
      <c r="E1239" s="1412"/>
      <c r="F1239" s="1412"/>
      <c r="G1239" s="1412"/>
      <c r="H1239" s="1412"/>
      <c r="I1239" s="1412"/>
      <c r="J1239" s="1412"/>
      <c r="K1239" s="1412"/>
      <c r="L1239" s="1412"/>
      <c r="M1239" s="1412"/>
      <c r="N1239" s="1412"/>
      <c r="O1239" s="1412"/>
      <c r="P1239" s="1413"/>
      <c r="Q1239" s="1445">
        <f>'4.NERACA'!I115</f>
        <v>274710000</v>
      </c>
      <c r="R1239" s="1446"/>
      <c r="S1239" s="1446"/>
      <c r="T1239" s="1446"/>
      <c r="U1239" s="1447"/>
      <c r="V1239" s="52"/>
    </row>
    <row r="1240" spans="1:22" s="141" customFormat="1" ht="15" customHeight="1">
      <c r="A1240" s="82"/>
      <c r="B1240" s="1066">
        <v>7</v>
      </c>
      <c r="C1240" s="1068"/>
      <c r="D1240" s="1411" t="str">
        <f>'4.NERACA'!C116</f>
        <v>Bangunan Air Kotor</v>
      </c>
      <c r="E1240" s="1412"/>
      <c r="F1240" s="1412"/>
      <c r="G1240" s="1412"/>
      <c r="H1240" s="1412"/>
      <c r="I1240" s="1412"/>
      <c r="J1240" s="1412"/>
      <c r="K1240" s="1412"/>
      <c r="L1240" s="1412"/>
      <c r="M1240" s="1412"/>
      <c r="N1240" s="1412"/>
      <c r="O1240" s="1412"/>
      <c r="P1240" s="1413"/>
      <c r="Q1240" s="1445">
        <f>'4.NERACA'!I116</f>
        <v>195667000</v>
      </c>
      <c r="R1240" s="1446"/>
      <c r="S1240" s="1446"/>
      <c r="T1240" s="1446"/>
      <c r="U1240" s="1447"/>
      <c r="V1240" s="52"/>
    </row>
    <row r="1241" spans="1:22" s="141" customFormat="1" ht="15" customHeight="1">
      <c r="A1241" s="82"/>
      <c r="B1241" s="1066">
        <v>8</v>
      </c>
      <c r="C1241" s="1068"/>
      <c r="D1241" s="1411" t="str">
        <f>'4.NERACA'!C117</f>
        <v>Bangunan Air</v>
      </c>
      <c r="E1241" s="1412"/>
      <c r="F1241" s="1412"/>
      <c r="G1241" s="1412"/>
      <c r="H1241" s="1412"/>
      <c r="I1241" s="1412"/>
      <c r="J1241" s="1412"/>
      <c r="K1241" s="1412"/>
      <c r="L1241" s="1412"/>
      <c r="M1241" s="1412"/>
      <c r="N1241" s="1412"/>
      <c r="O1241" s="1412"/>
      <c r="P1241" s="1413"/>
      <c r="Q1241" s="1445">
        <f>'4.NERACA'!I117</f>
        <v>0</v>
      </c>
      <c r="R1241" s="1446"/>
      <c r="S1241" s="1446"/>
      <c r="T1241" s="1446"/>
      <c r="U1241" s="1447"/>
      <c r="V1241" s="52"/>
    </row>
    <row r="1242" spans="1:22" s="141" customFormat="1" ht="20.25" customHeight="1">
      <c r="A1242" s="82"/>
      <c r="B1242" s="1066">
        <v>9</v>
      </c>
      <c r="C1242" s="1068"/>
      <c r="D1242" s="1411" t="str">
        <f>'4.NERACA'!C118</f>
        <v>Jarinagn Air Minum</v>
      </c>
      <c r="E1242" s="1412"/>
      <c r="F1242" s="1412"/>
      <c r="G1242" s="1412"/>
      <c r="H1242" s="1412"/>
      <c r="I1242" s="1412"/>
      <c r="J1242" s="1412"/>
      <c r="K1242" s="1412"/>
      <c r="L1242" s="1412"/>
      <c r="M1242" s="1412"/>
      <c r="N1242" s="1412"/>
      <c r="O1242" s="1412"/>
      <c r="P1242" s="1413"/>
      <c r="Q1242" s="1445">
        <f>'4.NERACA'!I118</f>
        <v>145700000</v>
      </c>
      <c r="R1242" s="1446"/>
      <c r="S1242" s="1446"/>
      <c r="T1242" s="1446"/>
      <c r="U1242" s="1447"/>
      <c r="V1242" s="52"/>
    </row>
    <row r="1243" spans="1:22" s="141" customFormat="1" ht="20.25" customHeight="1">
      <c r="A1243" s="82"/>
      <c r="B1243" s="1066">
        <v>10</v>
      </c>
      <c r="C1243" s="1068"/>
      <c r="D1243" s="1411" t="str">
        <f>'4.NERACA'!C119</f>
        <v>Jarinagn Listrik</v>
      </c>
      <c r="E1243" s="1412"/>
      <c r="F1243" s="1412"/>
      <c r="G1243" s="1412"/>
      <c r="H1243" s="1412"/>
      <c r="I1243" s="1412"/>
      <c r="J1243" s="1412"/>
      <c r="K1243" s="1412"/>
      <c r="L1243" s="1412"/>
      <c r="M1243" s="1412"/>
      <c r="N1243" s="1412"/>
      <c r="O1243" s="1412"/>
      <c r="P1243" s="1413"/>
      <c r="Q1243" s="1445">
        <f>'4.NERACA'!I119</f>
        <v>360792550</v>
      </c>
      <c r="R1243" s="1446"/>
      <c r="S1243" s="1446"/>
      <c r="T1243" s="1446"/>
      <c r="U1243" s="1447"/>
      <c r="V1243" s="52"/>
    </row>
    <row r="1244" spans="1:22" s="141" customFormat="1" ht="15" customHeight="1">
      <c r="A1244" s="82"/>
      <c r="B1244" s="1448" t="s">
        <v>10</v>
      </c>
      <c r="C1244" s="1449"/>
      <c r="D1244" s="1449"/>
      <c r="E1244" s="1449"/>
      <c r="F1244" s="1449"/>
      <c r="G1244" s="1449"/>
      <c r="H1244" s="1449"/>
      <c r="I1244" s="1449"/>
      <c r="J1244" s="1449"/>
      <c r="K1244" s="1449"/>
      <c r="L1244" s="1449"/>
      <c r="M1244" s="1449"/>
      <c r="N1244" s="1449"/>
      <c r="O1244" s="1449"/>
      <c r="P1244" s="1450"/>
      <c r="Q1244" s="1445">
        <f>SUM(Q1234:U1243)</f>
        <v>7010631086</v>
      </c>
      <c r="R1244" s="1446"/>
      <c r="S1244" s="1446"/>
      <c r="T1244" s="1446"/>
      <c r="U1244" s="1447"/>
      <c r="V1244" s="52"/>
    </row>
    <row r="1245" spans="1:22" s="141" customFormat="1" ht="15" customHeight="1">
      <c r="A1245" s="82"/>
      <c r="B1245" s="626"/>
      <c r="C1245" s="626"/>
      <c r="D1245" s="626"/>
      <c r="E1245" s="626"/>
      <c r="F1245" s="626"/>
      <c r="G1245" s="626"/>
      <c r="H1245" s="626"/>
      <c r="I1245" s="626"/>
      <c r="J1245" s="626"/>
      <c r="K1245" s="626"/>
      <c r="L1245" s="626"/>
      <c r="M1245" s="626"/>
      <c r="N1245" s="5"/>
      <c r="O1245" s="5"/>
      <c r="P1245" s="5"/>
      <c r="Q1245" s="5"/>
      <c r="R1245" s="5"/>
      <c r="S1245" s="5"/>
      <c r="T1245" s="5"/>
      <c r="U1245" s="5"/>
      <c r="V1245" s="52"/>
    </row>
    <row r="1246" spans="1:22" s="141" customFormat="1" ht="20.25" customHeight="1">
      <c r="A1246" s="838"/>
      <c r="B1246" s="782" t="s">
        <v>789</v>
      </c>
      <c r="C1246" s="1137" t="str">
        <f>'4.NERACA'!C120</f>
        <v>Aset Tetap Lainnya</v>
      </c>
      <c r="D1246" s="1137"/>
      <c r="E1246" s="1137"/>
      <c r="F1246" s="1137"/>
      <c r="G1246" s="1137"/>
      <c r="H1246" s="1137"/>
      <c r="I1246" s="1137"/>
      <c r="J1246" s="1137"/>
      <c r="K1246" s="1137"/>
      <c r="L1246" s="1137"/>
      <c r="M1246" s="1137"/>
      <c r="N1246" s="1137"/>
      <c r="O1246" s="1137"/>
      <c r="P1246" s="1137"/>
      <c r="Q1246" s="1137"/>
      <c r="R1246" s="1137"/>
      <c r="S1246" s="1137"/>
      <c r="T1246" s="1137"/>
      <c r="U1246" s="1137"/>
      <c r="V1246" s="52"/>
    </row>
    <row r="1247" spans="1:22" s="141" customFormat="1" ht="20.25" customHeight="1">
      <c r="A1247" s="837"/>
      <c r="B1247" s="784" t="s">
        <v>790</v>
      </c>
      <c r="C1247" s="1137" t="str">
        <f>'4.NERACA'!C129</f>
        <v>Konstruksi Dalam Pengerjaan</v>
      </c>
      <c r="D1247" s="1137"/>
      <c r="E1247" s="1137"/>
      <c r="F1247" s="1137"/>
      <c r="G1247" s="1137"/>
      <c r="H1247" s="1137"/>
      <c r="I1247" s="1137"/>
      <c r="J1247" s="1137"/>
      <c r="K1247" s="1137"/>
      <c r="L1247" s="1137"/>
      <c r="M1247" s="1137"/>
      <c r="N1247" s="1137"/>
      <c r="O1247" s="1137"/>
      <c r="P1247" s="1137"/>
      <c r="Q1247" s="1137"/>
      <c r="R1247" s="1137"/>
      <c r="S1247" s="1137"/>
      <c r="T1247" s="1137"/>
      <c r="V1247" s="52"/>
    </row>
    <row r="1248" spans="1:22" s="141" customFormat="1" ht="19.5" customHeight="1">
      <c r="A1248" s="1516"/>
      <c r="B1248" s="782" t="s">
        <v>1191</v>
      </c>
      <c r="C1248" s="1137" t="s">
        <v>92</v>
      </c>
      <c r="D1248" s="1137"/>
      <c r="E1248" s="1137"/>
      <c r="F1248" s="1137"/>
      <c r="G1248" s="1137"/>
      <c r="H1248" s="1137"/>
      <c r="I1248" s="1137"/>
      <c r="J1248" s="1137"/>
      <c r="K1248" s="1137"/>
      <c r="L1248" s="1137"/>
      <c r="M1248" s="1137"/>
      <c r="N1248" s="1137"/>
      <c r="O1248" s="1137"/>
      <c r="P1248" s="1137"/>
      <c r="Q1248" s="1137"/>
      <c r="R1248" s="1137"/>
      <c r="S1248" s="1137"/>
      <c r="T1248" s="1137"/>
      <c r="U1248" s="1137"/>
      <c r="V1248" s="52"/>
    </row>
    <row r="1249" spans="1:22" s="141" customFormat="1" ht="62.25" customHeight="1">
      <c r="A1249" s="1516"/>
      <c r="C1249" s="1091" t="str">
        <f>"Nilai "&amp;C1248&amp;"  per "&amp;'2.ISIAN DATA SKPD'!D8&amp;" dan  "&amp;'2.ISIAN DATA SKPD'!D12&amp;" adalah sebesar Rp. "&amp;FIXED(-R1255)&amp;" dan Rp. "&amp;FIXED(-B1255)&amp;" mengalami kenaikan sebesar Rp. "&amp;FIXED(AC1255)&amp;" atau sebesar "&amp;FIXED(Y1255)&amp;"% dari tahun "&amp;'2.ISIAN DATA SKPD'!D12&amp;"."</f>
        <v>Nilai Akumulasi Penyusutan Aset Tetap  per 31 Desember 2017 dan  2016 adalah sebesar Rp. 4,781,240,960.00 dan Rp. 4,455,726,444.00 mengalami kenaikan sebesar Rp. -325,514,516.00 atau sebesar 7.31% dari tahun 2016.</v>
      </c>
      <c r="D1249" s="1091"/>
      <c r="E1249" s="1091"/>
      <c r="F1249" s="1091"/>
      <c r="G1249" s="1091"/>
      <c r="H1249" s="1091"/>
      <c r="I1249" s="1091"/>
      <c r="J1249" s="1091"/>
      <c r="K1249" s="1091"/>
      <c r="L1249" s="1091"/>
      <c r="M1249" s="1091"/>
      <c r="N1249" s="1091"/>
      <c r="O1249" s="1091"/>
      <c r="P1249" s="1091"/>
      <c r="Q1249" s="1091"/>
      <c r="R1249" s="1091"/>
      <c r="S1249" s="1091"/>
      <c r="T1249" s="1091"/>
      <c r="U1249" s="1091"/>
      <c r="V1249" s="52"/>
    </row>
    <row r="1250" spans="1:22" s="141" customFormat="1" ht="62.25" customHeight="1">
      <c r="A1250" s="1516"/>
      <c r="C1250" s="1091" t="s">
        <v>1567</v>
      </c>
      <c r="D1250" s="1091"/>
      <c r="E1250" s="1091"/>
      <c r="F1250" s="1091"/>
      <c r="G1250" s="1091"/>
      <c r="H1250" s="1091"/>
      <c r="I1250" s="1091"/>
      <c r="J1250" s="1091"/>
      <c r="K1250" s="1091"/>
      <c r="L1250" s="1091"/>
      <c r="M1250" s="1091"/>
      <c r="N1250" s="1091"/>
      <c r="O1250" s="1091"/>
      <c r="P1250" s="1091"/>
      <c r="Q1250" s="1091"/>
      <c r="R1250" s="1091"/>
      <c r="S1250" s="1091"/>
      <c r="T1250" s="1091"/>
      <c r="U1250" s="1091"/>
      <c r="V1250" s="52"/>
    </row>
    <row r="1251" spans="1:22" s="141" customFormat="1" ht="32.25" customHeight="1">
      <c r="A1251" s="82"/>
      <c r="C1251" s="1091" t="str">
        <f>"Mutasi transaksi terhadap "&amp;C1248&amp;" pada tanggal pelaporan adalah sebagai berikut:"</f>
        <v>Mutasi transaksi terhadap Akumulasi Penyusutan Aset Tetap pada tanggal pelaporan adalah sebagai berikut:</v>
      </c>
      <c r="D1251" s="1091"/>
      <c r="E1251" s="1091"/>
      <c r="F1251" s="1091"/>
      <c r="G1251" s="1091"/>
      <c r="H1251" s="1091"/>
      <c r="I1251" s="1091"/>
      <c r="J1251" s="1091"/>
      <c r="K1251" s="1091"/>
      <c r="L1251" s="1091"/>
      <c r="M1251" s="1091"/>
      <c r="N1251" s="1091"/>
      <c r="O1251" s="1091"/>
      <c r="P1251" s="1091"/>
      <c r="Q1251" s="1091"/>
      <c r="R1251" s="1091"/>
      <c r="S1251" s="1091"/>
      <c r="T1251" s="1091"/>
      <c r="U1251" s="1091"/>
      <c r="V1251" s="52"/>
    </row>
    <row r="1252" spans="1:22" s="141" customFormat="1" ht="6.75" customHeight="1">
      <c r="A1252" s="82"/>
      <c r="C1252" s="783"/>
      <c r="D1252" s="783"/>
      <c r="E1252" s="783"/>
      <c r="F1252" s="783"/>
      <c r="G1252" s="783"/>
      <c r="H1252" s="783"/>
      <c r="I1252" s="783"/>
      <c r="J1252" s="783"/>
      <c r="K1252" s="783"/>
      <c r="L1252" s="783"/>
      <c r="M1252" s="783"/>
      <c r="N1252" s="783"/>
      <c r="O1252" s="783"/>
      <c r="P1252" s="783"/>
      <c r="Q1252" s="783"/>
      <c r="R1252" s="783"/>
      <c r="S1252" s="783"/>
      <c r="T1252" s="783"/>
      <c r="U1252" s="783"/>
      <c r="V1252" s="52"/>
    </row>
    <row r="1253" spans="1:22" s="141" customFormat="1" ht="21.75" customHeight="1">
      <c r="A1253" s="1156" t="s">
        <v>9</v>
      </c>
      <c r="B1253" s="1164" t="s">
        <v>762</v>
      </c>
      <c r="C1253" s="1165"/>
      <c r="D1253" s="1165"/>
      <c r="E1253" s="1166"/>
      <c r="F1253" s="1151" t="s">
        <v>190</v>
      </c>
      <c r="G1253" s="1151"/>
      <c r="H1253" s="1151"/>
      <c r="I1253" s="1151"/>
      <c r="J1253" s="1151"/>
      <c r="K1253" s="1151"/>
      <c r="L1253" s="1151" t="s">
        <v>761</v>
      </c>
      <c r="M1253" s="1151"/>
      <c r="N1253" s="1151"/>
      <c r="O1253" s="1151"/>
      <c r="P1253" s="1151"/>
      <c r="Q1253" s="1151"/>
      <c r="R1253" s="1077" t="s">
        <v>763</v>
      </c>
      <c r="S1253" s="1077"/>
      <c r="T1253" s="1077"/>
      <c r="U1253" s="1077"/>
      <c r="V1253" s="52"/>
    </row>
    <row r="1254" spans="1:32" s="141" customFormat="1" ht="22.5" customHeight="1">
      <c r="A1254" s="1157"/>
      <c r="B1254" s="1147">
        <f>B1211</f>
        <v>2016</v>
      </c>
      <c r="C1254" s="1148"/>
      <c r="D1254" s="1148"/>
      <c r="E1254" s="1149"/>
      <c r="F1254" s="1077" t="s">
        <v>419</v>
      </c>
      <c r="G1254" s="1077"/>
      <c r="H1254" s="1077"/>
      <c r="I1254" s="1077" t="s">
        <v>420</v>
      </c>
      <c r="J1254" s="1077"/>
      <c r="K1254" s="1077"/>
      <c r="L1254" s="1077" t="s">
        <v>419</v>
      </c>
      <c r="M1254" s="1077"/>
      <c r="N1254" s="1077"/>
      <c r="O1254" s="1150" t="s">
        <v>420</v>
      </c>
      <c r="P1254" s="1150"/>
      <c r="Q1254" s="1150"/>
      <c r="R1254" s="1161">
        <f>R1211</f>
        <v>2017</v>
      </c>
      <c r="S1254" s="1162"/>
      <c r="T1254" s="1162"/>
      <c r="U1254" s="1163"/>
      <c r="V1254" s="1074"/>
      <c r="W1254" s="1073"/>
      <c r="X1254" s="1073"/>
      <c r="Y1254" s="1045" t="s">
        <v>1677</v>
      </c>
      <c r="Z1254" s="1073"/>
      <c r="AA1254" s="1073"/>
      <c r="AB1254" s="1073"/>
      <c r="AC1254" s="1085" t="s">
        <v>1676</v>
      </c>
      <c r="AD1254" s="1086"/>
      <c r="AE1254" s="1086"/>
      <c r="AF1254" s="1086"/>
    </row>
    <row r="1255" spans="1:32" s="141" customFormat="1" ht="28.5" customHeight="1">
      <c r="A1255" s="824" t="str">
        <f>C1248</f>
        <v>Akumulasi Penyusutan Aset Tetap</v>
      </c>
      <c r="B1255" s="1152">
        <f>'4.NERACA'!D131</f>
        <v>-4455726444</v>
      </c>
      <c r="C1255" s="1153"/>
      <c r="D1255" s="1153"/>
      <c r="E1255" s="1154"/>
      <c r="F1255" s="1146">
        <f>'4.NERACA'!E131</f>
        <v>0</v>
      </c>
      <c r="G1255" s="1146"/>
      <c r="H1255" s="1146"/>
      <c r="I1255" s="1146">
        <f>'4.NERACA'!F131</f>
        <v>0</v>
      </c>
      <c r="J1255" s="1146"/>
      <c r="K1255" s="1146"/>
      <c r="L1255" s="1646">
        <f>'4.NERACA'!G131</f>
        <v>-429614516</v>
      </c>
      <c r="M1255" s="1646"/>
      <c r="N1255" s="1646"/>
      <c r="O1255" s="1146">
        <f>'4.NERACA'!H131</f>
        <v>-104100000</v>
      </c>
      <c r="P1255" s="1146"/>
      <c r="Q1255" s="1146"/>
      <c r="R1255" s="1146">
        <f>B1255+F1255-I1255+L1255-O1255</f>
        <v>-4781240960</v>
      </c>
      <c r="S1255" s="1146"/>
      <c r="T1255" s="1146"/>
      <c r="U1255" s="1146"/>
      <c r="V1255" s="1072"/>
      <c r="W1255" s="1073"/>
      <c r="X1255" s="1073"/>
      <c r="Y1255" s="1045">
        <f>(R1255-B1255)/B1255*100</f>
        <v>7.305531883321336</v>
      </c>
      <c r="Z1255" s="1073"/>
      <c r="AA1255" s="1073"/>
      <c r="AB1255" s="1073"/>
      <c r="AC1255" s="1045">
        <f>R1255-B1255</f>
        <v>-325514516</v>
      </c>
      <c r="AD1255" s="1046"/>
      <c r="AE1255" s="1046"/>
      <c r="AF1255" s="1046"/>
    </row>
    <row r="1256" spans="1:22" s="141" customFormat="1" ht="6.75" customHeight="1">
      <c r="A1256" s="82"/>
      <c r="B1256" s="37"/>
      <c r="C1256" s="37"/>
      <c r="D1256" s="37"/>
      <c r="E1256" s="37"/>
      <c r="F1256" s="37"/>
      <c r="G1256" s="37"/>
      <c r="H1256" s="37"/>
      <c r="I1256" s="37"/>
      <c r="J1256" s="37"/>
      <c r="K1256" s="37"/>
      <c r="L1256" s="37"/>
      <c r="M1256" s="37"/>
      <c r="N1256" s="37"/>
      <c r="O1256" s="37"/>
      <c r="P1256" s="37"/>
      <c r="Q1256" s="37"/>
      <c r="R1256" s="37"/>
      <c r="S1256" s="37"/>
      <c r="T1256" s="37"/>
      <c r="U1256" s="37"/>
      <c r="V1256" s="52"/>
    </row>
    <row r="1257" spans="1:22" s="141" customFormat="1" ht="30.75" customHeight="1">
      <c r="A1257" s="82"/>
      <c r="B1257" s="1683" t="str">
        <f>"Rincian Akumulasi Penyusutan Aset Tetap per "&amp;'2.ISIAN DATA SKPD'!D8&amp;" adalah sebagai berikut:"</f>
        <v>Rincian Akumulasi Penyusutan Aset Tetap per 31 Desember 2017 adalah sebagai berikut:</v>
      </c>
      <c r="C1257" s="1683"/>
      <c r="D1257" s="1683"/>
      <c r="E1257" s="1683"/>
      <c r="F1257" s="1683"/>
      <c r="G1257" s="1683"/>
      <c r="H1257" s="1683"/>
      <c r="I1257" s="1683"/>
      <c r="J1257" s="1683"/>
      <c r="K1257" s="1683"/>
      <c r="L1257" s="1683"/>
      <c r="M1257" s="1683"/>
      <c r="N1257" s="1683"/>
      <c r="O1257" s="1683"/>
      <c r="P1257" s="1683"/>
      <c r="Q1257" s="1683"/>
      <c r="R1257" s="1683"/>
      <c r="S1257" s="1683"/>
      <c r="T1257" s="1683"/>
      <c r="U1257" s="1683"/>
      <c r="V1257" s="52"/>
    </row>
    <row r="1258" spans="1:22" s="141" customFormat="1" ht="36.75" customHeight="1">
      <c r="A1258" s="82"/>
      <c r="B1258" s="785" t="s">
        <v>46</v>
      </c>
      <c r="C1258" s="1126" t="s">
        <v>117</v>
      </c>
      <c r="D1258" s="1127"/>
      <c r="E1258" s="1127"/>
      <c r="F1258" s="1127"/>
      <c r="G1258" s="1127"/>
      <c r="H1258" s="1127"/>
      <c r="I1258" s="1128"/>
      <c r="J1258" s="1324" t="s">
        <v>138</v>
      </c>
      <c r="K1258" s="1324"/>
      <c r="L1258" s="1324"/>
      <c r="M1258" s="1324"/>
      <c r="N1258" s="1324" t="s">
        <v>139</v>
      </c>
      <c r="O1258" s="1324"/>
      <c r="P1258" s="1324"/>
      <c r="Q1258" s="1324"/>
      <c r="R1258" s="1324" t="s">
        <v>140</v>
      </c>
      <c r="S1258" s="1324"/>
      <c r="T1258" s="1324"/>
      <c r="U1258" s="1324"/>
      <c r="V1258" s="52"/>
    </row>
    <row r="1259" spans="1:22" s="141" customFormat="1" ht="16.5" customHeight="1">
      <c r="A1259" s="82"/>
      <c r="B1259" s="786">
        <v>1</v>
      </c>
      <c r="C1259" s="1193" t="s">
        <v>89</v>
      </c>
      <c r="D1259" s="1194"/>
      <c r="E1259" s="1194"/>
      <c r="F1259" s="1194"/>
      <c r="G1259" s="1194"/>
      <c r="H1259" s="1194"/>
      <c r="I1259" s="1195"/>
      <c r="J1259" s="1440">
        <f>'4.NERACA'!I76</f>
        <v>1292546786</v>
      </c>
      <c r="K1259" s="1440"/>
      <c r="L1259" s="1440"/>
      <c r="M1259" s="1440"/>
      <c r="N1259" s="1440">
        <f>'4.NERACA'!I132</f>
        <v>-641772560</v>
      </c>
      <c r="O1259" s="1440"/>
      <c r="P1259" s="1440"/>
      <c r="Q1259" s="1440"/>
      <c r="R1259" s="1440">
        <f>J1259+N1259</f>
        <v>650774226</v>
      </c>
      <c r="S1259" s="1440"/>
      <c r="T1259" s="1440"/>
      <c r="U1259" s="1440"/>
      <c r="V1259" s="52"/>
    </row>
    <row r="1260" spans="1:22" s="141" customFormat="1" ht="17.25" customHeight="1">
      <c r="A1260" s="82"/>
      <c r="B1260" s="786">
        <v>2</v>
      </c>
      <c r="C1260" s="1193" t="s">
        <v>90</v>
      </c>
      <c r="D1260" s="1194"/>
      <c r="E1260" s="1194"/>
      <c r="F1260" s="1194"/>
      <c r="G1260" s="1194"/>
      <c r="H1260" s="1194"/>
      <c r="I1260" s="1195"/>
      <c r="J1260" s="1440">
        <f>'4.NERACA'!I99</f>
        <v>2394728350</v>
      </c>
      <c r="K1260" s="1440"/>
      <c r="L1260" s="1440"/>
      <c r="M1260" s="1440"/>
      <c r="N1260" s="1440">
        <f>'4.NERACA'!I133</f>
        <v>-478695599</v>
      </c>
      <c r="O1260" s="1440"/>
      <c r="P1260" s="1440"/>
      <c r="Q1260" s="1440"/>
      <c r="R1260" s="1440">
        <f>J1260+N1260</f>
        <v>1916032751</v>
      </c>
      <c r="S1260" s="1440"/>
      <c r="T1260" s="1440"/>
      <c r="U1260" s="1440"/>
      <c r="V1260" s="52"/>
    </row>
    <row r="1261" spans="1:22" s="141" customFormat="1" ht="22.5" customHeight="1">
      <c r="A1261" s="82"/>
      <c r="B1261" s="786">
        <v>3</v>
      </c>
      <c r="C1261" s="1193" t="s">
        <v>141</v>
      </c>
      <c r="D1261" s="1194"/>
      <c r="E1261" s="1194"/>
      <c r="F1261" s="1194"/>
      <c r="G1261" s="1194"/>
      <c r="H1261" s="1194"/>
      <c r="I1261" s="1195"/>
      <c r="J1261" s="1440">
        <f>'4.NERACA'!I109</f>
        <v>7010631086</v>
      </c>
      <c r="K1261" s="1440"/>
      <c r="L1261" s="1440"/>
      <c r="M1261" s="1440"/>
      <c r="N1261" s="1440">
        <f>'4.NERACA'!I134</f>
        <v>-3660772801</v>
      </c>
      <c r="O1261" s="1440"/>
      <c r="P1261" s="1440"/>
      <c r="Q1261" s="1440"/>
      <c r="R1261" s="1440">
        <f>J1261+N1261</f>
        <v>3349858285</v>
      </c>
      <c r="S1261" s="1440"/>
      <c r="T1261" s="1440"/>
      <c r="U1261" s="1440"/>
      <c r="V1261" s="52"/>
    </row>
    <row r="1262" spans="1:22" s="141" customFormat="1" ht="22.5" customHeight="1">
      <c r="A1262" s="83"/>
      <c r="B1262" s="786">
        <v>4</v>
      </c>
      <c r="C1262" s="1193" t="s">
        <v>91</v>
      </c>
      <c r="D1262" s="1194"/>
      <c r="E1262" s="1194"/>
      <c r="F1262" s="1194"/>
      <c r="G1262" s="1194"/>
      <c r="H1262" s="1194"/>
      <c r="I1262" s="1195"/>
      <c r="J1262" s="1440">
        <f>'4.NERACA'!I120</f>
        <v>0</v>
      </c>
      <c r="K1262" s="1440"/>
      <c r="L1262" s="1440"/>
      <c r="M1262" s="1440"/>
      <c r="N1262" s="1440">
        <f>'4.NERACA'!I135</f>
        <v>0</v>
      </c>
      <c r="O1262" s="1440"/>
      <c r="P1262" s="1440"/>
      <c r="Q1262" s="1440"/>
      <c r="R1262" s="1440">
        <f>J1262+N1262</f>
        <v>0</v>
      </c>
      <c r="S1262" s="1440"/>
      <c r="T1262" s="1440"/>
      <c r="U1262" s="1440"/>
      <c r="V1262" s="52"/>
    </row>
    <row r="1263" spans="1:22" s="141" customFormat="1" ht="20.25" customHeight="1">
      <c r="A1263" s="83"/>
      <c r="B1263" s="1126" t="s">
        <v>139</v>
      </c>
      <c r="C1263" s="1127"/>
      <c r="D1263" s="1127"/>
      <c r="E1263" s="1127"/>
      <c r="F1263" s="1127"/>
      <c r="G1263" s="1127"/>
      <c r="H1263" s="1127"/>
      <c r="I1263" s="1128"/>
      <c r="J1263" s="1645">
        <f>SUM(J1259:M1262)</f>
        <v>10697906222</v>
      </c>
      <c r="K1263" s="1645"/>
      <c r="L1263" s="1645"/>
      <c r="M1263" s="1645"/>
      <c r="N1263" s="1645">
        <f>SUM(N1259:Q1262)</f>
        <v>-4781240960</v>
      </c>
      <c r="O1263" s="1645"/>
      <c r="P1263" s="1645"/>
      <c r="Q1263" s="1645"/>
      <c r="R1263" s="1645">
        <f>SUM(R1259:U1262)</f>
        <v>5916665262</v>
      </c>
      <c r="S1263" s="1645"/>
      <c r="T1263" s="1645"/>
      <c r="U1263" s="1645"/>
      <c r="V1263" s="52"/>
    </row>
    <row r="1264" spans="1:22" s="141" customFormat="1" ht="6" customHeight="1">
      <c r="A1264" s="83"/>
      <c r="B1264" s="37"/>
      <c r="C1264" s="37"/>
      <c r="D1264" s="37"/>
      <c r="E1264" s="37"/>
      <c r="F1264" s="37"/>
      <c r="G1264" s="37"/>
      <c r="H1264" s="37"/>
      <c r="I1264" s="37"/>
      <c r="J1264" s="37"/>
      <c r="K1264" s="37"/>
      <c r="L1264" s="37"/>
      <c r="M1264" s="37"/>
      <c r="N1264" s="37"/>
      <c r="O1264" s="37"/>
      <c r="P1264" s="37"/>
      <c r="Q1264" s="37"/>
      <c r="R1264" s="37"/>
      <c r="S1264" s="37"/>
      <c r="T1264" s="654"/>
      <c r="U1264" s="654"/>
      <c r="V1264" s="52"/>
    </row>
    <row r="1265" spans="1:22" s="141" customFormat="1" ht="31.5" customHeight="1">
      <c r="A1265" s="82"/>
      <c r="B1265" s="1456" t="s">
        <v>142</v>
      </c>
      <c r="C1265" s="1456"/>
      <c r="D1265" s="1456"/>
      <c r="E1265" s="1456"/>
      <c r="F1265" s="1456"/>
      <c r="G1265" s="1456"/>
      <c r="H1265" s="1456"/>
      <c r="I1265" s="1456"/>
      <c r="J1265" s="1456"/>
      <c r="K1265" s="1456"/>
      <c r="L1265" s="1456"/>
      <c r="M1265" s="1456"/>
      <c r="N1265" s="1456"/>
      <c r="O1265" s="1456"/>
      <c r="P1265" s="1456"/>
      <c r="Q1265" s="1456"/>
      <c r="R1265" s="1456"/>
      <c r="S1265" s="1456"/>
      <c r="T1265" s="1456"/>
      <c r="U1265" s="1456"/>
      <c r="V1265" s="52"/>
    </row>
    <row r="1266" spans="1:22" s="141" customFormat="1" ht="17.25" customHeight="1" hidden="1">
      <c r="A1266" s="82"/>
      <c r="B1266" s="37"/>
      <c r="C1266" s="37"/>
      <c r="D1266" s="37"/>
      <c r="E1266" s="37"/>
      <c r="F1266" s="37"/>
      <c r="G1266" s="37"/>
      <c r="H1266" s="37"/>
      <c r="I1266" s="37"/>
      <c r="J1266" s="37"/>
      <c r="K1266" s="37"/>
      <c r="L1266" s="37"/>
      <c r="M1266" s="37"/>
      <c r="N1266" s="37"/>
      <c r="O1266" s="37"/>
      <c r="P1266" s="37"/>
      <c r="Q1266" s="37"/>
      <c r="R1266" s="37"/>
      <c r="S1266" s="37"/>
      <c r="T1266" s="37"/>
      <c r="U1266" s="37"/>
      <c r="V1266" s="52"/>
    </row>
    <row r="1267" spans="1:22" s="141" customFormat="1" ht="15.75" customHeight="1">
      <c r="A1267" s="82"/>
      <c r="B1267" s="787" t="s">
        <v>1568</v>
      </c>
      <c r="C1267" s="1421" t="s">
        <v>621</v>
      </c>
      <c r="D1267" s="1421"/>
      <c r="E1267" s="1421"/>
      <c r="F1267" s="1421"/>
      <c r="G1267" s="1421"/>
      <c r="H1267" s="1421"/>
      <c r="I1267" s="1421"/>
      <c r="J1267" s="1421"/>
      <c r="K1267" s="1421"/>
      <c r="L1267" s="1421"/>
      <c r="M1267" s="1421"/>
      <c r="N1267" s="1421"/>
      <c r="O1267" s="1421"/>
      <c r="P1267" s="1421"/>
      <c r="Q1267" s="1421"/>
      <c r="R1267" s="1421"/>
      <c r="S1267" s="1421"/>
      <c r="T1267" s="1421"/>
      <c r="U1267" s="1421"/>
      <c r="V1267" s="52"/>
    </row>
    <row r="1268" spans="1:22" s="141" customFormat="1" ht="15" customHeight="1">
      <c r="A1268" s="82"/>
      <c r="B1268" s="686" t="s">
        <v>1569</v>
      </c>
      <c r="C1268" s="1089" t="s">
        <v>624</v>
      </c>
      <c r="D1268" s="1089"/>
      <c r="E1268" s="1089"/>
      <c r="F1268" s="1089"/>
      <c r="G1268" s="1089"/>
      <c r="H1268" s="1089"/>
      <c r="I1268" s="1089"/>
      <c r="J1268" s="1089"/>
      <c r="K1268" s="1089"/>
      <c r="L1268" s="1089"/>
      <c r="M1268" s="1089"/>
      <c r="N1268" s="1089"/>
      <c r="O1268" s="1089"/>
      <c r="P1268" s="1089"/>
      <c r="Q1268" s="1089"/>
      <c r="R1268" s="1089"/>
      <c r="S1268" s="1089"/>
      <c r="T1268" s="1089"/>
      <c r="U1268" s="1089"/>
      <c r="V1268" s="52"/>
    </row>
    <row r="1269" spans="1:22" s="141" customFormat="1" ht="45" customHeight="1">
      <c r="A1269" s="82"/>
      <c r="B1269" s="37"/>
      <c r="C1269" s="1432" t="str">
        <f>"Saldo "&amp;A1274&amp;" per "&amp;'2.ISIAN DATA SKPD'!D8&amp;" dan "&amp;'2.ISIAN DATA SKPD'!D12&amp;" adalah masing-masing sebesar Rp. 0 dan Rp. 0 mengalami kenaikan/penurunan sebesar Rp. 0 atau sebesar 0 % dari tahun "&amp;'2.ISIAN DATA SKPD'!D12&amp;"."</f>
        <v>Saldo Aset Lainnya per 31 Desember 2017 dan 2016 adalah masing-masing sebesar Rp. 0 dan Rp. 0 mengalami kenaikan/penurunan sebesar Rp. 0 atau sebesar 0 % dari tahun 2016.</v>
      </c>
      <c r="D1269" s="1432"/>
      <c r="E1269" s="1432"/>
      <c r="F1269" s="1432"/>
      <c r="G1269" s="1432"/>
      <c r="H1269" s="1432"/>
      <c r="I1269" s="1432"/>
      <c r="J1269" s="1432"/>
      <c r="K1269" s="1432"/>
      <c r="L1269" s="1432"/>
      <c r="M1269" s="1432"/>
      <c r="N1269" s="1432"/>
      <c r="O1269" s="1432"/>
      <c r="P1269" s="1432"/>
      <c r="Q1269" s="1432"/>
      <c r="R1269" s="1432"/>
      <c r="S1269" s="1432"/>
      <c r="T1269" s="1432"/>
      <c r="U1269" s="1432"/>
      <c r="V1269" s="38"/>
    </row>
    <row r="1270" spans="1:22" s="141" customFormat="1" ht="29.25" customHeight="1">
      <c r="A1270" s="82"/>
      <c r="B1270" s="37"/>
      <c r="C1270" s="1091" t="str">
        <f>"Mutasi transaksi terhadap "&amp;A1274&amp;" pada tanggal pelaporan adalah sebagai berikut:"</f>
        <v>Mutasi transaksi terhadap Aset Lainnya pada tanggal pelaporan adalah sebagai berikut:</v>
      </c>
      <c r="D1270" s="1091"/>
      <c r="E1270" s="1091"/>
      <c r="F1270" s="1091"/>
      <c r="G1270" s="1091"/>
      <c r="H1270" s="1091"/>
      <c r="I1270" s="1091"/>
      <c r="J1270" s="1091"/>
      <c r="K1270" s="1091"/>
      <c r="L1270" s="1091"/>
      <c r="M1270" s="1091"/>
      <c r="N1270" s="1091"/>
      <c r="O1270" s="1091"/>
      <c r="P1270" s="1091"/>
      <c r="Q1270" s="1091"/>
      <c r="R1270" s="1091"/>
      <c r="S1270" s="1091"/>
      <c r="T1270" s="1091"/>
      <c r="U1270" s="1091"/>
      <c r="V1270" s="38"/>
    </row>
    <row r="1271" spans="1:22" s="141" customFormat="1" ht="6.75" customHeight="1">
      <c r="A1271" s="82"/>
      <c r="B1271" s="37"/>
      <c r="C1271" s="783"/>
      <c r="D1271" s="783"/>
      <c r="E1271" s="783"/>
      <c r="F1271" s="783"/>
      <c r="G1271" s="783"/>
      <c r="H1271" s="783"/>
      <c r="I1271" s="783"/>
      <c r="J1271" s="783"/>
      <c r="K1271" s="783"/>
      <c r="L1271" s="783"/>
      <c r="M1271" s="783"/>
      <c r="N1271" s="783"/>
      <c r="O1271" s="783"/>
      <c r="P1271" s="783"/>
      <c r="Q1271" s="783"/>
      <c r="R1271" s="783"/>
      <c r="S1271" s="783"/>
      <c r="T1271" s="783"/>
      <c r="U1271" s="783"/>
      <c r="V1271" s="38"/>
    </row>
    <row r="1272" spans="1:22" s="141" customFormat="1" ht="18" customHeight="1">
      <c r="A1272" s="1156" t="s">
        <v>9</v>
      </c>
      <c r="B1272" s="1164" t="s">
        <v>762</v>
      </c>
      <c r="C1272" s="1165"/>
      <c r="D1272" s="1165"/>
      <c r="E1272" s="1166"/>
      <c r="F1272" s="1151" t="s">
        <v>190</v>
      </c>
      <c r="G1272" s="1151"/>
      <c r="H1272" s="1151"/>
      <c r="I1272" s="1151"/>
      <c r="J1272" s="1151"/>
      <c r="K1272" s="1151"/>
      <c r="L1272" s="1151" t="s">
        <v>761</v>
      </c>
      <c r="M1272" s="1151"/>
      <c r="N1272" s="1151"/>
      <c r="O1272" s="1151"/>
      <c r="P1272" s="1151"/>
      <c r="Q1272" s="1151"/>
      <c r="R1272" s="1077" t="s">
        <v>763</v>
      </c>
      <c r="S1272" s="1077"/>
      <c r="T1272" s="1077"/>
      <c r="U1272" s="1077"/>
      <c r="V1272" s="52"/>
    </row>
    <row r="1273" spans="1:22" s="141" customFormat="1" ht="18" customHeight="1">
      <c r="A1273" s="1157"/>
      <c r="B1273" s="1147">
        <f>B1211</f>
        <v>2016</v>
      </c>
      <c r="C1273" s="1148"/>
      <c r="D1273" s="1148"/>
      <c r="E1273" s="1149"/>
      <c r="F1273" s="1077" t="s">
        <v>419</v>
      </c>
      <c r="G1273" s="1077"/>
      <c r="H1273" s="1077"/>
      <c r="I1273" s="1077" t="s">
        <v>420</v>
      </c>
      <c r="J1273" s="1077"/>
      <c r="K1273" s="1077"/>
      <c r="L1273" s="1077" t="s">
        <v>419</v>
      </c>
      <c r="M1273" s="1077"/>
      <c r="N1273" s="1077"/>
      <c r="O1273" s="1150" t="s">
        <v>420</v>
      </c>
      <c r="P1273" s="1150"/>
      <c r="Q1273" s="1150"/>
      <c r="R1273" s="1161">
        <f>R1211</f>
        <v>2017</v>
      </c>
      <c r="S1273" s="1162"/>
      <c r="T1273" s="1162"/>
      <c r="U1273" s="1163"/>
      <c r="V1273" s="52"/>
    </row>
    <row r="1274" spans="1:22" s="141" customFormat="1" ht="29.25" customHeight="1">
      <c r="A1274" s="821" t="s">
        <v>1573</v>
      </c>
      <c r="B1274" s="1152">
        <f>'4.NERACA'!D138</f>
        <v>0</v>
      </c>
      <c r="C1274" s="1153"/>
      <c r="D1274" s="1153"/>
      <c r="E1274" s="1154"/>
      <c r="F1274" s="1146">
        <f>'4.NERACA'!E138</f>
        <v>0</v>
      </c>
      <c r="G1274" s="1146"/>
      <c r="H1274" s="1146"/>
      <c r="I1274" s="1146">
        <f>'4.NERACA'!F138</f>
        <v>0</v>
      </c>
      <c r="J1274" s="1146"/>
      <c r="K1274" s="1146"/>
      <c r="L1274" s="1146">
        <f>'4.NERACA'!G138</f>
        <v>0</v>
      </c>
      <c r="M1274" s="1146"/>
      <c r="N1274" s="1146"/>
      <c r="O1274" s="1146">
        <f>'4.NERACA'!H138</f>
        <v>0</v>
      </c>
      <c r="P1274" s="1146"/>
      <c r="Q1274" s="1146"/>
      <c r="R1274" s="1146">
        <f>B1274+F1274-I1274+L1274-O1274</f>
        <v>0</v>
      </c>
      <c r="S1274" s="1146"/>
      <c r="T1274" s="1146"/>
      <c r="U1274" s="1146"/>
      <c r="V1274" s="52"/>
    </row>
    <row r="1275" spans="1:22" s="141" customFormat="1" ht="18" customHeight="1">
      <c r="A1275" s="82"/>
      <c r="B1275" s="1145" t="s">
        <v>1574</v>
      </c>
      <c r="C1275" s="1145"/>
      <c r="D1275" s="1145"/>
      <c r="E1275" s="1145"/>
      <c r="F1275" s="1145"/>
      <c r="G1275" s="1145"/>
      <c r="H1275" s="1145"/>
      <c r="I1275" s="1145"/>
      <c r="J1275" s="1145"/>
      <c r="K1275" s="1145"/>
      <c r="L1275" s="1145"/>
      <c r="M1275" s="1145"/>
      <c r="N1275" s="1145"/>
      <c r="O1275" s="1145"/>
      <c r="P1275" s="1145"/>
      <c r="Q1275" s="1145"/>
      <c r="R1275" s="1145"/>
      <c r="S1275" s="1145"/>
      <c r="T1275" s="1145"/>
      <c r="U1275" s="1145"/>
      <c r="V1275" s="52"/>
    </row>
    <row r="1276" spans="1:22" s="141" customFormat="1" ht="16.5" customHeight="1">
      <c r="A1276" s="82"/>
      <c r="B1276" s="1155" t="s">
        <v>1576</v>
      </c>
      <c r="C1276" s="1155"/>
      <c r="D1276" s="1155"/>
      <c r="E1276" s="1155"/>
      <c r="F1276" s="1155"/>
      <c r="G1276" s="1155"/>
      <c r="H1276" s="1155"/>
      <c r="I1276" s="1155"/>
      <c r="J1276" s="1155"/>
      <c r="K1276" s="1155"/>
      <c r="L1276" s="1155"/>
      <c r="M1276" s="1155"/>
      <c r="N1276" s="1155"/>
      <c r="O1276" s="1155"/>
      <c r="P1276" s="1155"/>
      <c r="Q1276" s="1155"/>
      <c r="R1276" s="1155"/>
      <c r="S1276" s="1155"/>
      <c r="T1276" s="1155"/>
      <c r="U1276" s="1155"/>
      <c r="V1276" s="52"/>
    </row>
    <row r="1277" spans="1:22" s="141" customFormat="1" ht="15.75" customHeight="1">
      <c r="A1277" s="82"/>
      <c r="B1277" s="1655" t="s">
        <v>1577</v>
      </c>
      <c r="C1277" s="1655"/>
      <c r="D1277" s="1655"/>
      <c r="E1277" s="1655"/>
      <c r="F1277" s="1655"/>
      <c r="G1277" s="1655"/>
      <c r="H1277" s="1655"/>
      <c r="I1277" s="1655"/>
      <c r="J1277" s="1655"/>
      <c r="K1277" s="1655"/>
      <c r="L1277" s="1655"/>
      <c r="M1277" s="1655"/>
      <c r="N1277" s="1655"/>
      <c r="O1277" s="1655"/>
      <c r="P1277" s="1655"/>
      <c r="Q1277" s="1655"/>
      <c r="R1277" s="1655"/>
      <c r="S1277" s="1655"/>
      <c r="T1277" s="1655"/>
      <c r="U1277" s="1655"/>
      <c r="V1277" s="52"/>
    </row>
    <row r="1278" spans="1:22" s="141" customFormat="1" ht="16.5" customHeight="1">
      <c r="A1278" s="82"/>
      <c r="B1278" s="1655" t="s">
        <v>1578</v>
      </c>
      <c r="C1278" s="1655"/>
      <c r="D1278" s="1655"/>
      <c r="E1278" s="1655"/>
      <c r="F1278" s="1655"/>
      <c r="G1278" s="1655"/>
      <c r="H1278" s="1655"/>
      <c r="I1278" s="1655"/>
      <c r="J1278" s="1655"/>
      <c r="K1278" s="1655"/>
      <c r="L1278" s="1655"/>
      <c r="M1278" s="1655"/>
      <c r="N1278" s="1655"/>
      <c r="O1278" s="1655"/>
      <c r="P1278" s="1655"/>
      <c r="Q1278" s="1655"/>
      <c r="R1278" s="1655"/>
      <c r="S1278" s="1655"/>
      <c r="T1278" s="1655"/>
      <c r="U1278" s="1655"/>
      <c r="V1278" s="52"/>
    </row>
    <row r="1279" spans="1:22" s="141" customFormat="1" ht="16.5" customHeight="1">
      <c r="A1279" s="82"/>
      <c r="B1279" s="1137" t="s">
        <v>1579</v>
      </c>
      <c r="C1279" s="1137"/>
      <c r="D1279" s="1137"/>
      <c r="E1279" s="1137"/>
      <c r="F1279" s="1137"/>
      <c r="G1279" s="1137"/>
      <c r="H1279" s="1137"/>
      <c r="I1279" s="1137"/>
      <c r="J1279" s="1137"/>
      <c r="K1279" s="1137"/>
      <c r="L1279" s="1137"/>
      <c r="M1279" s="1137"/>
      <c r="N1279" s="1137"/>
      <c r="O1279" s="1137"/>
      <c r="P1279" s="1137"/>
      <c r="Q1279" s="1137"/>
      <c r="R1279" s="1137"/>
      <c r="S1279" s="1137"/>
      <c r="T1279" s="1137"/>
      <c r="U1279" s="1137"/>
      <c r="V1279" s="52"/>
    </row>
    <row r="1280" spans="1:22" s="141" customFormat="1" ht="15">
      <c r="A1280" s="114"/>
      <c r="B1280" s="61"/>
      <c r="C1280" s="61"/>
      <c r="D1280" s="61"/>
      <c r="E1280" s="61"/>
      <c r="F1280" s="61"/>
      <c r="G1280" s="61"/>
      <c r="H1280" s="61"/>
      <c r="I1280" s="61"/>
      <c r="J1280" s="5"/>
      <c r="K1280" s="5"/>
      <c r="L1280" s="5"/>
      <c r="M1280" s="5"/>
      <c r="N1280" s="5"/>
      <c r="O1280" s="5"/>
      <c r="P1280" s="5"/>
      <c r="Q1280" s="5"/>
      <c r="R1280" s="5"/>
      <c r="S1280" s="5"/>
      <c r="T1280" s="731"/>
      <c r="U1280" s="731"/>
      <c r="V1280" s="52"/>
    </row>
    <row r="1281" spans="1:22" s="141" customFormat="1" ht="18.75" customHeight="1">
      <c r="A1281" s="82"/>
      <c r="B1281" s="644" t="s">
        <v>1679</v>
      </c>
      <c r="C1281" s="1089" t="s">
        <v>787</v>
      </c>
      <c r="D1281" s="1089"/>
      <c r="E1281" s="1089"/>
      <c r="F1281" s="1089"/>
      <c r="G1281" s="1089"/>
      <c r="H1281" s="1089"/>
      <c r="I1281" s="1089"/>
      <c r="J1281" s="1089"/>
      <c r="K1281" s="1089"/>
      <c r="L1281" s="1089"/>
      <c r="M1281" s="1089"/>
      <c r="N1281" s="1089"/>
      <c r="O1281" s="1089"/>
      <c r="P1281" s="1089"/>
      <c r="Q1281" s="1089"/>
      <c r="R1281" s="1089"/>
      <c r="S1281" s="1089"/>
      <c r="T1281" s="1089"/>
      <c r="U1281" s="1089"/>
      <c r="V1281" s="52"/>
    </row>
    <row r="1282" spans="1:22" s="141" customFormat="1" ht="48.75" customHeight="1">
      <c r="A1282" s="82"/>
      <c r="C1282" s="1134" t="str">
        <f>"Saldo Kewajiban per "&amp;'2.ISIAN DATA SKPD'!D8&amp;" dan "&amp;'2.ISIAN DATA SKPD'!D12&amp;" adalah Rp. "&amp;FIXED('4.NERACA'!I155)&amp;" dan Rp. "&amp;FIXED('4.NERACA'!D155)&amp;" mengalami kenaikan sebesar Rp. "&amp;FIXED('4.NERACA'!K155)&amp;" atau sebesar "&amp;FIXED('4.NERACA'!J155)&amp;"% dari tahun "&amp;'2.ISIAN DATA SKPD'!D12&amp;"."</f>
        <v>Saldo Kewajiban per 31 Desember 2017 dan 2016 adalah Rp. 0.00 dan Rp. 3,324,557.00 mengalami kenaikan sebesar Rp. -3,324,557.00 atau sebesar -100.00% dari tahun 2016.</v>
      </c>
      <c r="D1282" s="1134"/>
      <c r="E1282" s="1134"/>
      <c r="F1282" s="1134"/>
      <c r="G1282" s="1134"/>
      <c r="H1282" s="1134"/>
      <c r="I1282" s="1134"/>
      <c r="J1282" s="1134"/>
      <c r="K1282" s="1134"/>
      <c r="L1282" s="1134"/>
      <c r="M1282" s="1134"/>
      <c r="N1282" s="1134"/>
      <c r="O1282" s="1134"/>
      <c r="P1282" s="1134"/>
      <c r="Q1282" s="1134"/>
      <c r="R1282" s="1134"/>
      <c r="S1282" s="1134"/>
      <c r="T1282" s="1134"/>
      <c r="U1282" s="1134"/>
      <c r="V1282" s="52"/>
    </row>
    <row r="1283" spans="1:22" s="141" customFormat="1" ht="3" customHeight="1">
      <c r="A1283" s="838"/>
      <c r="C1283" s="638"/>
      <c r="D1283" s="638"/>
      <c r="E1283" s="638"/>
      <c r="F1283" s="638"/>
      <c r="G1283" s="638"/>
      <c r="H1283" s="638"/>
      <c r="I1283" s="638"/>
      <c r="J1283" s="638"/>
      <c r="K1283" s="638"/>
      <c r="L1283" s="638"/>
      <c r="M1283" s="638"/>
      <c r="N1283" s="638"/>
      <c r="O1283" s="638"/>
      <c r="P1283" s="638"/>
      <c r="Q1283" s="638"/>
      <c r="R1283" s="638"/>
      <c r="S1283" s="638"/>
      <c r="T1283" s="638"/>
      <c r="U1283" s="638"/>
      <c r="V1283" s="52"/>
    </row>
    <row r="1284" spans="1:22" s="141" customFormat="1" ht="5.25" customHeight="1">
      <c r="A1284" s="838"/>
      <c r="C1284" s="638"/>
      <c r="D1284" s="638"/>
      <c r="E1284" s="638"/>
      <c r="F1284" s="638"/>
      <c r="G1284" s="638"/>
      <c r="H1284" s="638"/>
      <c r="I1284" s="638"/>
      <c r="J1284" s="638"/>
      <c r="K1284" s="638"/>
      <c r="L1284" s="638"/>
      <c r="M1284" s="638"/>
      <c r="N1284" s="638"/>
      <c r="O1284" s="638"/>
      <c r="P1284" s="638"/>
      <c r="Q1284" s="638"/>
      <c r="R1284" s="638"/>
      <c r="S1284" s="638"/>
      <c r="T1284" s="638"/>
      <c r="U1284" s="638"/>
      <c r="V1284" s="52"/>
    </row>
    <row r="1285" spans="1:22" s="141" customFormat="1" ht="16.5" customHeight="1">
      <c r="A1285" s="82"/>
      <c r="B1285" s="644" t="s">
        <v>1586</v>
      </c>
      <c r="C1285" s="630"/>
      <c r="D1285" s="630"/>
      <c r="E1285" s="630"/>
      <c r="F1285" s="630"/>
      <c r="G1285" s="630"/>
      <c r="H1285" s="630"/>
      <c r="I1285" s="630"/>
      <c r="J1285" s="630"/>
      <c r="K1285" s="630"/>
      <c r="L1285" s="630"/>
      <c r="M1285" s="630"/>
      <c r="N1285" s="630"/>
      <c r="O1285" s="630"/>
      <c r="P1285" s="630"/>
      <c r="Q1285" s="630"/>
      <c r="R1285" s="630"/>
      <c r="S1285" s="630"/>
      <c r="T1285" s="630"/>
      <c r="U1285" s="630"/>
      <c r="V1285" s="52"/>
    </row>
    <row r="1286" spans="1:22" s="141" customFormat="1" ht="60.75" customHeight="1">
      <c r="A1286" s="82"/>
      <c r="C1286" s="1134" t="str">
        <f>"Saldo Kewajiban Jangka Pendek per "&amp;'2.ISIAN DATA SKPD'!D8&amp;" dan "&amp;'2.ISIAN DATA SKPD'!D12&amp;" adalah Rp. "&amp;FIXED('4.NERACA'!I156)&amp;" dan Rp. "&amp;FIXED('4.NERACA'!D156)&amp;" mengalami kenaikan/penurunan sebesar Rp. "&amp;FIXED('4.NERACA'!K156)&amp;" atau sebesar "&amp;FIXED('4.NERACA'!J156)&amp;"% dari tahun "&amp;'2.ISIAN DATA SKPD'!D12&amp;"."</f>
        <v>Saldo Kewajiban Jangka Pendek per 31 Desember 2017 dan 2016 adalah Rp. 0.00 dan Rp. 3,324,557.00 mengalami kenaikan/penurunan sebesar Rp. -3,324,557.00 atau sebesar -100.00% dari tahun 2016.</v>
      </c>
      <c r="D1286" s="1134"/>
      <c r="E1286" s="1134"/>
      <c r="F1286" s="1134"/>
      <c r="G1286" s="1134"/>
      <c r="H1286" s="1134"/>
      <c r="I1286" s="1134"/>
      <c r="J1286" s="1134"/>
      <c r="K1286" s="1134"/>
      <c r="L1286" s="1134"/>
      <c r="M1286" s="1134"/>
      <c r="N1286" s="1134"/>
      <c r="O1286" s="1134"/>
      <c r="P1286" s="1134"/>
      <c r="Q1286" s="1134"/>
      <c r="R1286" s="1134"/>
      <c r="S1286" s="1134"/>
      <c r="T1286" s="1134"/>
      <c r="U1286" s="1134"/>
      <c r="V1286" s="52"/>
    </row>
    <row r="1287" spans="1:22" s="141" customFormat="1" ht="30" customHeight="1">
      <c r="A1287" s="82"/>
      <c r="C1287" s="1134" t="str">
        <f>"Perincian saldo kewajiban per "&amp;'2.ISIAN DATA SKPD'!D8&amp;" adalah sebagai berikut :"</f>
        <v>Perincian saldo kewajiban per 31 Desember 2017 adalah sebagai berikut :</v>
      </c>
      <c r="D1287" s="1134"/>
      <c r="E1287" s="1134"/>
      <c r="F1287" s="1134"/>
      <c r="G1287" s="1134"/>
      <c r="H1287" s="1134"/>
      <c r="I1287" s="1134"/>
      <c r="J1287" s="1134"/>
      <c r="K1287" s="1134"/>
      <c r="L1287" s="1134"/>
      <c r="M1287" s="1134"/>
      <c r="N1287" s="1134"/>
      <c r="O1287" s="1134"/>
      <c r="P1287" s="1134"/>
      <c r="Q1287" s="1134"/>
      <c r="R1287" s="1134"/>
      <c r="S1287" s="1134"/>
      <c r="T1287" s="1134"/>
      <c r="U1287" s="1134"/>
      <c r="V1287" s="52"/>
    </row>
    <row r="1288" spans="1:22" s="141" customFormat="1" ht="5.25" customHeight="1">
      <c r="A1288" s="82"/>
      <c r="B1288" s="37"/>
      <c r="C1288" s="37"/>
      <c r="D1288" s="37"/>
      <c r="E1288" s="37"/>
      <c r="F1288" s="37"/>
      <c r="G1288" s="37"/>
      <c r="H1288" s="37"/>
      <c r="I1288" s="37"/>
      <c r="J1288" s="37"/>
      <c r="K1288" s="37"/>
      <c r="L1288" s="37"/>
      <c r="M1288" s="37"/>
      <c r="N1288" s="37"/>
      <c r="O1288" s="37"/>
      <c r="P1288" s="37"/>
      <c r="Q1288" s="37"/>
      <c r="R1288" s="37"/>
      <c r="S1288" s="37"/>
      <c r="T1288" s="37"/>
      <c r="U1288" s="37"/>
      <c r="V1288" s="52"/>
    </row>
    <row r="1289" spans="1:22" s="141" customFormat="1" ht="17.25" customHeight="1">
      <c r="A1289" s="82"/>
      <c r="B1289" s="780" t="s">
        <v>126</v>
      </c>
      <c r="C1289" s="1126" t="s">
        <v>9</v>
      </c>
      <c r="D1289" s="1127"/>
      <c r="E1289" s="1127"/>
      <c r="F1289" s="1127"/>
      <c r="G1289" s="1127"/>
      <c r="H1289" s="1127"/>
      <c r="I1289" s="1127"/>
      <c r="J1289" s="1127"/>
      <c r="K1289" s="1127"/>
      <c r="L1289" s="1127"/>
      <c r="M1289" s="1128"/>
      <c r="N1289" s="1324" t="s">
        <v>10</v>
      </c>
      <c r="O1289" s="1324"/>
      <c r="P1289" s="1324"/>
      <c r="Q1289" s="1324"/>
      <c r="R1289" s="1324"/>
      <c r="S1289" s="1324"/>
      <c r="T1289" s="1324"/>
      <c r="U1289" s="1324"/>
      <c r="V1289" s="52"/>
    </row>
    <row r="1290" spans="1:22" s="141" customFormat="1" ht="14.25" customHeight="1">
      <c r="A1290" s="82"/>
      <c r="B1290" s="788">
        <v>1</v>
      </c>
      <c r="C1290" s="1114" t="s">
        <v>648</v>
      </c>
      <c r="D1290" s="1115"/>
      <c r="E1290" s="1115"/>
      <c r="F1290" s="1115"/>
      <c r="G1290" s="1115"/>
      <c r="H1290" s="1115"/>
      <c r="I1290" s="1115"/>
      <c r="J1290" s="1115"/>
      <c r="K1290" s="1115"/>
      <c r="L1290" s="1115"/>
      <c r="M1290" s="1116"/>
      <c r="N1290" s="1653">
        <f>'4.NERACA'!I157</f>
        <v>0</v>
      </c>
      <c r="O1290" s="1654"/>
      <c r="P1290" s="1654"/>
      <c r="Q1290" s="1654"/>
      <c r="R1290" s="1654"/>
      <c r="S1290" s="1654"/>
      <c r="T1290" s="1654"/>
      <c r="U1290" s="1654"/>
      <c r="V1290" s="52"/>
    </row>
    <row r="1291" spans="1:22" s="141" customFormat="1" ht="14.25" customHeight="1">
      <c r="A1291" s="82"/>
      <c r="B1291" s="788">
        <f>B1290+1</f>
        <v>2</v>
      </c>
      <c r="C1291" s="1114" t="s">
        <v>662</v>
      </c>
      <c r="D1291" s="1115"/>
      <c r="E1291" s="1115"/>
      <c r="F1291" s="1115"/>
      <c r="G1291" s="1115"/>
      <c r="H1291" s="1115"/>
      <c r="I1291" s="1115"/>
      <c r="J1291" s="1115"/>
      <c r="K1291" s="1115"/>
      <c r="L1291" s="1115"/>
      <c r="M1291" s="1116"/>
      <c r="N1291" s="1653">
        <f>'4.NERACA'!I166</f>
        <v>0</v>
      </c>
      <c r="O1291" s="1654"/>
      <c r="P1291" s="1654"/>
      <c r="Q1291" s="1654"/>
      <c r="R1291" s="1654"/>
      <c r="S1291" s="1654"/>
      <c r="T1291" s="1654"/>
      <c r="U1291" s="1654"/>
      <c r="V1291" s="52"/>
    </row>
    <row r="1292" spans="1:22" s="141" customFormat="1" ht="15" customHeight="1">
      <c r="A1292" s="82"/>
      <c r="B1292" s="788">
        <f>B1291+1</f>
        <v>3</v>
      </c>
      <c r="C1292" s="1114" t="s">
        <v>675</v>
      </c>
      <c r="D1292" s="1115"/>
      <c r="E1292" s="1115"/>
      <c r="F1292" s="1115"/>
      <c r="G1292" s="1115"/>
      <c r="H1292" s="1115"/>
      <c r="I1292" s="1115"/>
      <c r="J1292" s="1115"/>
      <c r="K1292" s="1115"/>
      <c r="L1292" s="1115"/>
      <c r="M1292" s="1116"/>
      <c r="N1292" s="1653">
        <f>'4.NERACA'!I173</f>
        <v>0</v>
      </c>
      <c r="O1292" s="1654"/>
      <c r="P1292" s="1654"/>
      <c r="Q1292" s="1654"/>
      <c r="R1292" s="1654"/>
      <c r="S1292" s="1654"/>
      <c r="T1292" s="1654"/>
      <c r="U1292" s="1654"/>
      <c r="V1292" s="52"/>
    </row>
    <row r="1293" spans="1:22" s="141" customFormat="1" ht="13.5" customHeight="1">
      <c r="A1293" s="82"/>
      <c r="B1293" s="788">
        <f>B1292+1</f>
        <v>4</v>
      </c>
      <c r="C1293" s="1114" t="s">
        <v>686</v>
      </c>
      <c r="D1293" s="1115"/>
      <c r="E1293" s="1115"/>
      <c r="F1293" s="1115"/>
      <c r="G1293" s="1115"/>
      <c r="H1293" s="1115"/>
      <c r="I1293" s="1115"/>
      <c r="J1293" s="1115"/>
      <c r="K1293" s="1115"/>
      <c r="L1293" s="1115"/>
      <c r="M1293" s="1116"/>
      <c r="N1293" s="1653">
        <f>'4.NERACA'!I179</f>
        <v>0</v>
      </c>
      <c r="O1293" s="1654"/>
      <c r="P1293" s="1654"/>
      <c r="Q1293" s="1654"/>
      <c r="R1293" s="1654"/>
      <c r="S1293" s="1654"/>
      <c r="T1293" s="1654"/>
      <c r="U1293" s="1654"/>
      <c r="V1293" s="52"/>
    </row>
    <row r="1294" spans="1:22" s="141" customFormat="1" ht="14.25" customHeight="1">
      <c r="A1294" s="82"/>
      <c r="B1294" s="788">
        <f>B1293+1</f>
        <v>5</v>
      </c>
      <c r="C1294" s="1114" t="s">
        <v>695</v>
      </c>
      <c r="D1294" s="1115"/>
      <c r="E1294" s="1115"/>
      <c r="F1294" s="1115"/>
      <c r="G1294" s="1115"/>
      <c r="H1294" s="1115"/>
      <c r="I1294" s="1115"/>
      <c r="J1294" s="1115"/>
      <c r="K1294" s="1115"/>
      <c r="L1294" s="1115"/>
      <c r="M1294" s="1116"/>
      <c r="N1294" s="1653">
        <f>'4.NERACA'!I184</f>
        <v>0</v>
      </c>
      <c r="O1294" s="1654"/>
      <c r="P1294" s="1654"/>
      <c r="Q1294" s="1654"/>
      <c r="R1294" s="1654"/>
      <c r="S1294" s="1654"/>
      <c r="T1294" s="1654"/>
      <c r="U1294" s="1654"/>
      <c r="V1294" s="52"/>
    </row>
    <row r="1295" spans="1:22" s="141" customFormat="1" ht="14.25" customHeight="1">
      <c r="A1295" s="82"/>
      <c r="B1295" s="788">
        <f>B1294+1</f>
        <v>6</v>
      </c>
      <c r="C1295" s="1114" t="s">
        <v>706</v>
      </c>
      <c r="D1295" s="1115"/>
      <c r="E1295" s="1115"/>
      <c r="F1295" s="1115"/>
      <c r="G1295" s="1115"/>
      <c r="H1295" s="1115"/>
      <c r="I1295" s="1115"/>
      <c r="J1295" s="1115"/>
      <c r="K1295" s="1115"/>
      <c r="L1295" s="1115"/>
      <c r="M1295" s="1116"/>
      <c r="N1295" s="1653">
        <f>'4.NERACA'!I191</f>
        <v>0</v>
      </c>
      <c r="O1295" s="1654"/>
      <c r="P1295" s="1654"/>
      <c r="Q1295" s="1654"/>
      <c r="R1295" s="1654"/>
      <c r="S1295" s="1654"/>
      <c r="T1295" s="1654"/>
      <c r="U1295" s="1654"/>
      <c r="V1295" s="52"/>
    </row>
    <row r="1296" spans="1:21" s="141" customFormat="1" ht="13.5" customHeight="1">
      <c r="A1296" s="82"/>
      <c r="B1296" s="1126" t="s">
        <v>27</v>
      </c>
      <c r="C1296" s="1127"/>
      <c r="D1296" s="1127"/>
      <c r="E1296" s="1127"/>
      <c r="F1296" s="1127"/>
      <c r="G1296" s="1127"/>
      <c r="H1296" s="1127"/>
      <c r="I1296" s="1127"/>
      <c r="J1296" s="1127"/>
      <c r="K1296" s="1127"/>
      <c r="L1296" s="1127"/>
      <c r="M1296" s="1128"/>
      <c r="N1296" s="1656">
        <f>SUM(N1290:U1295)</f>
        <v>0</v>
      </c>
      <c r="O1296" s="1324"/>
      <c r="P1296" s="1324"/>
      <c r="Q1296" s="1324"/>
      <c r="R1296" s="1324"/>
      <c r="S1296" s="1324"/>
      <c r="T1296" s="1324"/>
      <c r="U1296" s="1324"/>
    </row>
    <row r="1297" spans="1:22" s="141" customFormat="1" ht="6" customHeight="1">
      <c r="A1297" s="82"/>
      <c r="B1297" s="96"/>
      <c r="C1297" s="96"/>
      <c r="D1297" s="96"/>
      <c r="E1297" s="96"/>
      <c r="F1297" s="96"/>
      <c r="G1297" s="96"/>
      <c r="H1297" s="96"/>
      <c r="I1297" s="96"/>
      <c r="J1297" s="96"/>
      <c r="K1297" s="96"/>
      <c r="L1297" s="96"/>
      <c r="M1297" s="96"/>
      <c r="N1297" s="97"/>
      <c r="O1297" s="96"/>
      <c r="P1297" s="96"/>
      <c r="Q1297" s="96"/>
      <c r="R1297" s="96"/>
      <c r="S1297" s="96"/>
      <c r="T1297" s="96"/>
      <c r="U1297" s="96"/>
      <c r="V1297" s="52"/>
    </row>
    <row r="1298" spans="1:22" s="141" customFormat="1" ht="18" customHeight="1">
      <c r="A1298" s="82"/>
      <c r="B1298" s="789"/>
      <c r="C1298" s="1089" t="s">
        <v>1580</v>
      </c>
      <c r="D1298" s="1089"/>
      <c r="E1298" s="1089"/>
      <c r="F1298" s="1089"/>
      <c r="G1298" s="1089"/>
      <c r="H1298" s="1089"/>
      <c r="I1298" s="1089"/>
      <c r="J1298" s="1089"/>
      <c r="K1298" s="1089"/>
      <c r="L1298" s="1089"/>
      <c r="M1298" s="1089"/>
      <c r="N1298" s="1089"/>
      <c r="O1298" s="1089"/>
      <c r="P1298" s="1089"/>
      <c r="Q1298" s="1089"/>
      <c r="R1298" s="1089"/>
      <c r="S1298" s="1089"/>
      <c r="T1298" s="1089"/>
      <c r="U1298" s="1089"/>
      <c r="V1298" s="52"/>
    </row>
    <row r="1299" spans="1:22" s="141" customFormat="1" ht="60" customHeight="1">
      <c r="A1299" s="82"/>
      <c r="C1299" s="1091" t="str">
        <f>"Nilai Utang kepada pihak ketiga per "&amp;'2.ISIAN DATA SKPD'!D8&amp;" dan "&amp;'2.ISIAN DATA SKPD'!D12&amp;" masing-masing sebesar Rp. "&amp;FIXED(R1312)&amp;" dan Rp. "&amp;FIXED(B1312)&amp;" mengalami kenaikan/penurunan sebesar Rp. "&amp;FIXED(AC1312)&amp;" atau sebesar "&amp;FIXED(Y1312)&amp;"% dari tahun "&amp;'2.ISIAN DATA SKPD'!D12&amp;"."</f>
        <v>Nilai Utang kepada pihak ketiga per 31 Desember 2017 dan 2016 masing-masing sebesar Rp. 0.00 dan Rp. 1,864,950.00 mengalami kenaikan/penurunan sebesar Rp. -1,864,950.00 atau sebesar -100.00% dari tahun 2016.</v>
      </c>
      <c r="D1299" s="1091"/>
      <c r="E1299" s="1091"/>
      <c r="F1299" s="1091"/>
      <c r="G1299" s="1091"/>
      <c r="H1299" s="1091"/>
      <c r="I1299" s="1091"/>
      <c r="J1299" s="1091"/>
      <c r="K1299" s="1091"/>
      <c r="L1299" s="1091"/>
      <c r="M1299" s="1091"/>
      <c r="N1299" s="1091"/>
      <c r="O1299" s="1091"/>
      <c r="P1299" s="1091"/>
      <c r="Q1299" s="1091"/>
      <c r="R1299" s="1091"/>
      <c r="S1299" s="1091"/>
      <c r="T1299" s="1091"/>
      <c r="U1299" s="1091"/>
      <c r="V1299" s="52"/>
    </row>
    <row r="1300" spans="1:22" s="141" customFormat="1" ht="76.5" customHeight="1">
      <c r="A1300" s="82"/>
      <c r="C1300" s="1091" t="str">
        <f>"Utang kepada Pihak Ketiga merupakan kewajiban yang masih harus dibayar dan segera diselesaikan kepada pihak ketiga lainnya dalam waktu kurang dari 12 (dua belas bulan) sejak tanggal pelaporan. Adapun rincian Utang Pihak Ketiga pada "&amp;'2.ISIAN DATA SKPD'!D2&amp;" per tanggal pelaporan adalah sebagai berikut: "</f>
        <v>Utang kepada Pihak Ketiga merupakan kewajiban yang masih harus dibayar dan segera diselesaikan kepada pihak ketiga lainnya dalam waktu kurang dari 12 (dua belas bulan) sejak tanggal pelaporan. Adapun rincian Utang Pihak Ketiga pada Kecamatan Kaliwiro per tanggal pelaporan adalah sebagai berikut: </v>
      </c>
      <c r="D1300" s="1091"/>
      <c r="E1300" s="1091"/>
      <c r="F1300" s="1091"/>
      <c r="G1300" s="1091"/>
      <c r="H1300" s="1091"/>
      <c r="I1300" s="1091"/>
      <c r="J1300" s="1091"/>
      <c r="K1300" s="1091"/>
      <c r="L1300" s="1091"/>
      <c r="M1300" s="1091"/>
      <c r="N1300" s="1091"/>
      <c r="O1300" s="1091"/>
      <c r="P1300" s="1091"/>
      <c r="Q1300" s="1091"/>
      <c r="R1300" s="1091"/>
      <c r="S1300" s="1091"/>
      <c r="T1300" s="1091"/>
      <c r="U1300" s="1091"/>
      <c r="V1300" s="52"/>
    </row>
    <row r="1301" spans="1:22" s="141" customFormat="1" ht="0.75" customHeight="1">
      <c r="A1301" s="82"/>
      <c r="C1301" s="783"/>
      <c r="D1301" s="783"/>
      <c r="E1301" s="783"/>
      <c r="F1301" s="783"/>
      <c r="G1301" s="783"/>
      <c r="H1301" s="783"/>
      <c r="I1301" s="783"/>
      <c r="J1301" s="783"/>
      <c r="K1301" s="783"/>
      <c r="L1301" s="783"/>
      <c r="M1301" s="783"/>
      <c r="N1301" s="783"/>
      <c r="O1301" s="783"/>
      <c r="P1301" s="783"/>
      <c r="Q1301" s="783"/>
      <c r="R1301" s="783"/>
      <c r="S1301" s="783"/>
      <c r="T1301" s="783"/>
      <c r="U1301" s="783"/>
      <c r="V1301" s="52"/>
    </row>
    <row r="1302" spans="1:22" s="141" customFormat="1" ht="12.75" customHeight="1">
      <c r="A1302" s="1156" t="s">
        <v>9</v>
      </c>
      <c r="B1302" s="1164" t="s">
        <v>762</v>
      </c>
      <c r="C1302" s="1165"/>
      <c r="D1302" s="1165"/>
      <c r="E1302" s="1166"/>
      <c r="F1302" s="1151" t="s">
        <v>190</v>
      </c>
      <c r="G1302" s="1151"/>
      <c r="H1302" s="1151"/>
      <c r="I1302" s="1151"/>
      <c r="J1302" s="1151"/>
      <c r="K1302" s="1151"/>
      <c r="L1302" s="1151" t="s">
        <v>761</v>
      </c>
      <c r="M1302" s="1151"/>
      <c r="N1302" s="1151"/>
      <c r="O1302" s="1151"/>
      <c r="P1302" s="1151"/>
      <c r="Q1302" s="1151"/>
      <c r="R1302" s="1077" t="s">
        <v>763</v>
      </c>
      <c r="S1302" s="1077"/>
      <c r="T1302" s="1077"/>
      <c r="U1302" s="1077"/>
      <c r="V1302" s="52"/>
    </row>
    <row r="1303" spans="1:32" s="141" customFormat="1" ht="12.75" customHeight="1">
      <c r="A1303" s="1157"/>
      <c r="B1303" s="1610">
        <f>B1211</f>
        <v>2016</v>
      </c>
      <c r="C1303" s="1611"/>
      <c r="D1303" s="1611"/>
      <c r="E1303" s="1612"/>
      <c r="F1303" s="1077" t="s">
        <v>419</v>
      </c>
      <c r="G1303" s="1077"/>
      <c r="H1303" s="1077"/>
      <c r="I1303" s="1077" t="s">
        <v>420</v>
      </c>
      <c r="J1303" s="1077"/>
      <c r="K1303" s="1077"/>
      <c r="L1303" s="1077" t="s">
        <v>419</v>
      </c>
      <c r="M1303" s="1077"/>
      <c r="N1303" s="1077"/>
      <c r="O1303" s="1150" t="s">
        <v>420</v>
      </c>
      <c r="P1303" s="1150"/>
      <c r="Q1303" s="1150"/>
      <c r="R1303" s="1161">
        <f>R1211</f>
        <v>2017</v>
      </c>
      <c r="S1303" s="1162"/>
      <c r="T1303" s="1162"/>
      <c r="U1303" s="1163"/>
      <c r="V1303" s="1074"/>
      <c r="W1303" s="1073"/>
      <c r="X1303" s="1073"/>
      <c r="Y1303" s="1045" t="s">
        <v>1677</v>
      </c>
      <c r="Z1303" s="1073"/>
      <c r="AA1303" s="1073"/>
      <c r="AB1303" s="1073"/>
      <c r="AC1303" s="1085" t="s">
        <v>1676</v>
      </c>
      <c r="AD1303" s="1086"/>
      <c r="AE1303" s="1086"/>
      <c r="AF1303" s="1086"/>
    </row>
    <row r="1304" spans="1:32" s="141" customFormat="1" ht="28.5" customHeight="1">
      <c r="A1304" s="790" t="str">
        <f>'4.NERACA'!C158</f>
        <v>Utang Taspen</v>
      </c>
      <c r="B1304" s="1158">
        <f>'4.NERACA'!D158</f>
        <v>0</v>
      </c>
      <c r="C1304" s="1159"/>
      <c r="D1304" s="1159"/>
      <c r="E1304" s="1160"/>
      <c r="F1304" s="1597">
        <f>'4.NERACA'!E158</f>
        <v>0</v>
      </c>
      <c r="G1304" s="1597"/>
      <c r="H1304" s="1597"/>
      <c r="I1304" s="1597">
        <f>'4.NERACA'!F158</f>
        <v>0</v>
      </c>
      <c r="J1304" s="1597"/>
      <c r="K1304" s="1597"/>
      <c r="L1304" s="1597">
        <f>'4.NERACA'!G158</f>
        <v>0</v>
      </c>
      <c r="M1304" s="1597"/>
      <c r="N1304" s="1597"/>
      <c r="O1304" s="1597">
        <f>'4.NERACA'!H158</f>
        <v>0</v>
      </c>
      <c r="P1304" s="1597"/>
      <c r="Q1304" s="1597"/>
      <c r="R1304" s="1597">
        <f>B1304-F1304+I1304-L1304+O1304</f>
        <v>0</v>
      </c>
      <c r="S1304" s="1597"/>
      <c r="T1304" s="1597"/>
      <c r="U1304" s="1597"/>
      <c r="V1304" s="1072"/>
      <c r="W1304" s="1073"/>
      <c r="X1304" s="1073"/>
      <c r="Y1304" s="1045" t="e">
        <f>(R1304-B1304)/B1304*100</f>
        <v>#DIV/0!</v>
      </c>
      <c r="Z1304" s="1073"/>
      <c r="AA1304" s="1073"/>
      <c r="AB1304" s="1073"/>
      <c r="AC1304" s="1045">
        <f>R1304-B1304</f>
        <v>0</v>
      </c>
      <c r="AD1304" s="1046"/>
      <c r="AE1304" s="1046"/>
      <c r="AF1304" s="1046"/>
    </row>
    <row r="1305" spans="1:32" s="141" customFormat="1" ht="24" customHeight="1">
      <c r="A1305" s="790" t="str">
        <f>'4.NERACA'!C159</f>
        <v>Utang Iuran Jaminan Kesehatan</v>
      </c>
      <c r="B1305" s="1158">
        <f>'4.NERACA'!D159</f>
        <v>0</v>
      </c>
      <c r="C1305" s="1159"/>
      <c r="D1305" s="1159"/>
      <c r="E1305" s="1160"/>
      <c r="F1305" s="1597">
        <f>'4.NERACA'!E159</f>
        <v>0</v>
      </c>
      <c r="G1305" s="1597"/>
      <c r="H1305" s="1597"/>
      <c r="I1305" s="1597">
        <f>'4.NERACA'!F159</f>
        <v>0</v>
      </c>
      <c r="J1305" s="1597"/>
      <c r="K1305" s="1597"/>
      <c r="L1305" s="1597">
        <f>'4.NERACA'!G159</f>
        <v>0</v>
      </c>
      <c r="M1305" s="1597"/>
      <c r="N1305" s="1597"/>
      <c r="O1305" s="1597">
        <f>'4.NERACA'!H159</f>
        <v>0</v>
      </c>
      <c r="P1305" s="1597"/>
      <c r="Q1305" s="1597"/>
      <c r="R1305" s="1597">
        <f aca="true" t="shared" si="29" ref="R1305:R1311">B1305-F1305+I1305-L1305+O1305</f>
        <v>0</v>
      </c>
      <c r="S1305" s="1597"/>
      <c r="T1305" s="1597"/>
      <c r="U1305" s="1597"/>
      <c r="V1305" s="1072"/>
      <c r="W1305" s="1073"/>
      <c r="X1305" s="1073"/>
      <c r="Y1305" s="1045" t="e">
        <f aca="true" t="shared" si="30" ref="Y1305:Y1312">(R1305-B1305)/B1305*100</f>
        <v>#DIV/0!</v>
      </c>
      <c r="Z1305" s="1073"/>
      <c r="AA1305" s="1073"/>
      <c r="AB1305" s="1073"/>
      <c r="AC1305" s="1045">
        <f aca="true" t="shared" si="31" ref="AC1305:AC1312">R1305-B1305</f>
        <v>0</v>
      </c>
      <c r="AD1305" s="1046"/>
      <c r="AE1305" s="1046"/>
      <c r="AF1305" s="1046"/>
    </row>
    <row r="1306" spans="1:32" s="141" customFormat="1" ht="17.25" customHeight="1">
      <c r="A1306" s="790" t="str">
        <f>'4.NERACA'!C160</f>
        <v>Utang PPh Pusat</v>
      </c>
      <c r="B1306" s="1158">
        <f>'4.NERACA'!D160</f>
        <v>1723500</v>
      </c>
      <c r="C1306" s="1159"/>
      <c r="D1306" s="1159"/>
      <c r="E1306" s="1160"/>
      <c r="F1306" s="1597">
        <f>'4.NERACA'!E160</f>
        <v>0</v>
      </c>
      <c r="G1306" s="1597"/>
      <c r="H1306" s="1597"/>
      <c r="I1306" s="1597">
        <f>'4.NERACA'!F160</f>
        <v>0</v>
      </c>
      <c r="J1306" s="1597"/>
      <c r="K1306" s="1597"/>
      <c r="L1306" s="1146">
        <f>'4.NERACA'!G160</f>
        <v>18337825</v>
      </c>
      <c r="M1306" s="1146"/>
      <c r="N1306" s="1146"/>
      <c r="O1306" s="1657">
        <f>'4.NERACA'!H160</f>
        <v>16614325</v>
      </c>
      <c r="P1306" s="1657"/>
      <c r="Q1306" s="1657"/>
      <c r="R1306" s="1597">
        <f t="shared" si="29"/>
        <v>0</v>
      </c>
      <c r="S1306" s="1597"/>
      <c r="T1306" s="1597"/>
      <c r="U1306" s="1597"/>
      <c r="V1306" s="1072"/>
      <c r="W1306" s="1073"/>
      <c r="X1306" s="1073"/>
      <c r="Y1306" s="1045">
        <f t="shared" si="30"/>
        <v>-100</v>
      </c>
      <c r="Z1306" s="1073"/>
      <c r="AA1306" s="1073"/>
      <c r="AB1306" s="1073"/>
      <c r="AC1306" s="1045">
        <f t="shared" si="31"/>
        <v>-1723500</v>
      </c>
      <c r="AD1306" s="1046"/>
      <c r="AE1306" s="1046"/>
      <c r="AF1306" s="1046"/>
    </row>
    <row r="1307" spans="1:32" s="141" customFormat="1" ht="24" customHeight="1">
      <c r="A1307" s="790" t="str">
        <f>'4.NERACA'!C161</f>
        <v>Utang  PPN Pusat</v>
      </c>
      <c r="B1307" s="1158">
        <f>'4.NERACA'!D161</f>
        <v>141450</v>
      </c>
      <c r="C1307" s="1159"/>
      <c r="D1307" s="1159"/>
      <c r="E1307" s="1160"/>
      <c r="F1307" s="1597">
        <f>'4.NERACA'!E161</f>
        <v>0</v>
      </c>
      <c r="G1307" s="1597"/>
      <c r="H1307" s="1597"/>
      <c r="I1307" s="1597">
        <f>'4.NERACA'!F161</f>
        <v>0</v>
      </c>
      <c r="J1307" s="1597"/>
      <c r="K1307" s="1597"/>
      <c r="L1307" s="1146">
        <f>'4.NERACA'!G161</f>
        <v>13181588</v>
      </c>
      <c r="M1307" s="1146"/>
      <c r="N1307" s="1146"/>
      <c r="O1307" s="1657">
        <f>'4.NERACA'!H161</f>
        <v>13040138</v>
      </c>
      <c r="P1307" s="1657"/>
      <c r="Q1307" s="1657"/>
      <c r="R1307" s="1597">
        <f t="shared" si="29"/>
        <v>0</v>
      </c>
      <c r="S1307" s="1597"/>
      <c r="T1307" s="1597"/>
      <c r="U1307" s="1597"/>
      <c r="V1307" s="1072"/>
      <c r="W1307" s="1073"/>
      <c r="X1307" s="1073"/>
      <c r="Y1307" s="1045">
        <f t="shared" si="30"/>
        <v>-100</v>
      </c>
      <c r="Z1307" s="1073"/>
      <c r="AA1307" s="1073"/>
      <c r="AB1307" s="1073"/>
      <c r="AC1307" s="1045">
        <f t="shared" si="31"/>
        <v>-141450</v>
      </c>
      <c r="AD1307" s="1046"/>
      <c r="AE1307" s="1046"/>
      <c r="AF1307" s="1046"/>
    </row>
    <row r="1308" spans="1:32" s="141" customFormat="1" ht="25.5" customHeight="1">
      <c r="A1308" s="790" t="str">
        <f>'4.NERACA'!C162</f>
        <v>Utang Taperum</v>
      </c>
      <c r="B1308" s="1158">
        <f>'4.NERACA'!D162</f>
        <v>0</v>
      </c>
      <c r="C1308" s="1159"/>
      <c r="D1308" s="1159"/>
      <c r="E1308" s="1160"/>
      <c r="F1308" s="1597">
        <f>'4.NERACA'!E162</f>
        <v>0</v>
      </c>
      <c r="G1308" s="1597"/>
      <c r="H1308" s="1597"/>
      <c r="I1308" s="1597">
        <f>'4.NERACA'!F162</f>
        <v>0</v>
      </c>
      <c r="J1308" s="1597"/>
      <c r="K1308" s="1597"/>
      <c r="L1308" s="1146">
        <f>'4.NERACA'!G162</f>
        <v>0</v>
      </c>
      <c r="M1308" s="1146"/>
      <c r="N1308" s="1146"/>
      <c r="O1308" s="1597">
        <f>'4.NERACA'!H162</f>
        <v>0</v>
      </c>
      <c r="P1308" s="1597"/>
      <c r="Q1308" s="1597"/>
      <c r="R1308" s="1597">
        <f t="shared" si="29"/>
        <v>0</v>
      </c>
      <c r="S1308" s="1597"/>
      <c r="T1308" s="1597"/>
      <c r="U1308" s="1597"/>
      <c r="V1308" s="1072"/>
      <c r="W1308" s="1073"/>
      <c r="X1308" s="1073"/>
      <c r="Y1308" s="1045" t="e">
        <f t="shared" si="30"/>
        <v>#DIV/0!</v>
      </c>
      <c r="Z1308" s="1073"/>
      <c r="AA1308" s="1073"/>
      <c r="AB1308" s="1073"/>
      <c r="AC1308" s="1045">
        <f t="shared" si="31"/>
        <v>0</v>
      </c>
      <c r="AD1308" s="1046"/>
      <c r="AE1308" s="1046"/>
      <c r="AF1308" s="1046"/>
    </row>
    <row r="1309" spans="1:32" s="141" customFormat="1" ht="24" customHeight="1">
      <c r="A1309" s="790" t="str">
        <f>'4.NERACA'!C163</f>
        <v>Utang Iuran Wajib Pegawai</v>
      </c>
      <c r="B1309" s="1158">
        <f>'4.NERACA'!D163</f>
        <v>0</v>
      </c>
      <c r="C1309" s="1159"/>
      <c r="D1309" s="1159"/>
      <c r="E1309" s="1160"/>
      <c r="F1309" s="1597">
        <f>'4.NERACA'!E163</f>
        <v>0</v>
      </c>
      <c r="G1309" s="1597"/>
      <c r="H1309" s="1597"/>
      <c r="I1309" s="1597">
        <f>'4.NERACA'!F163</f>
        <v>0</v>
      </c>
      <c r="J1309" s="1597"/>
      <c r="K1309" s="1597"/>
      <c r="L1309" s="1146">
        <f>'4.NERACA'!G163</f>
        <v>0</v>
      </c>
      <c r="M1309" s="1146"/>
      <c r="N1309" s="1146"/>
      <c r="O1309" s="1597">
        <f>'4.NERACA'!H163</f>
        <v>0</v>
      </c>
      <c r="P1309" s="1597"/>
      <c r="Q1309" s="1597"/>
      <c r="R1309" s="1597">
        <f t="shared" si="29"/>
        <v>0</v>
      </c>
      <c r="S1309" s="1597"/>
      <c r="T1309" s="1597"/>
      <c r="U1309" s="1597"/>
      <c r="V1309" s="1072"/>
      <c r="W1309" s="1073"/>
      <c r="X1309" s="1073"/>
      <c r="Y1309" s="1045" t="e">
        <f t="shared" si="30"/>
        <v>#DIV/0!</v>
      </c>
      <c r="Z1309" s="1073"/>
      <c r="AA1309" s="1073"/>
      <c r="AB1309" s="1073"/>
      <c r="AC1309" s="1045">
        <f t="shared" si="31"/>
        <v>0</v>
      </c>
      <c r="AD1309" s="1046"/>
      <c r="AE1309" s="1046"/>
      <c r="AF1309" s="1046"/>
    </row>
    <row r="1310" spans="1:32" s="141" customFormat="1" ht="24" customHeight="1">
      <c r="A1310" s="790" t="str">
        <f>'4.NERACA'!C164</f>
        <v>Utang Perhitungan Pihak Ketiga Lainnya</v>
      </c>
      <c r="B1310" s="1158">
        <f>'4.NERACA'!D164</f>
        <v>0</v>
      </c>
      <c r="C1310" s="1159"/>
      <c r="D1310" s="1159"/>
      <c r="E1310" s="1160"/>
      <c r="F1310" s="1597">
        <f>'4.NERACA'!E164</f>
        <v>0</v>
      </c>
      <c r="G1310" s="1597"/>
      <c r="H1310" s="1597"/>
      <c r="I1310" s="1597">
        <f>'4.NERACA'!F164</f>
        <v>0</v>
      </c>
      <c r="J1310" s="1597"/>
      <c r="K1310" s="1597"/>
      <c r="L1310" s="1146">
        <f>'4.NERACA'!G164</f>
        <v>0</v>
      </c>
      <c r="M1310" s="1146"/>
      <c r="N1310" s="1146"/>
      <c r="O1310" s="1597">
        <f>'4.NERACA'!H164</f>
        <v>0</v>
      </c>
      <c r="P1310" s="1597"/>
      <c r="Q1310" s="1597"/>
      <c r="R1310" s="1597">
        <f t="shared" si="29"/>
        <v>0</v>
      </c>
      <c r="S1310" s="1597"/>
      <c r="T1310" s="1597"/>
      <c r="U1310" s="1597"/>
      <c r="V1310" s="1072"/>
      <c r="W1310" s="1073"/>
      <c r="X1310" s="1073"/>
      <c r="Y1310" s="1045" t="e">
        <f t="shared" si="30"/>
        <v>#DIV/0!</v>
      </c>
      <c r="Z1310" s="1073"/>
      <c r="AA1310" s="1073"/>
      <c r="AB1310" s="1073"/>
      <c r="AC1310" s="1045">
        <f t="shared" si="31"/>
        <v>0</v>
      </c>
      <c r="AD1310" s="1046"/>
      <c r="AE1310" s="1046"/>
      <c r="AF1310" s="1046"/>
    </row>
    <row r="1311" spans="1:32" s="141" customFormat="1" ht="17.25" customHeight="1">
      <c r="A1311" s="790" t="str">
        <f>'4.NERACA'!C165</f>
        <v>Utang Jaminan</v>
      </c>
      <c r="B1311" s="1158">
        <f>'4.NERACA'!D165</f>
        <v>0</v>
      </c>
      <c r="C1311" s="1159"/>
      <c r="D1311" s="1159"/>
      <c r="E1311" s="1160"/>
      <c r="F1311" s="1597">
        <f>'4.NERACA'!E165</f>
        <v>0</v>
      </c>
      <c r="G1311" s="1597"/>
      <c r="H1311" s="1597"/>
      <c r="I1311" s="1597">
        <f>'4.NERACA'!F165</f>
        <v>0</v>
      </c>
      <c r="J1311" s="1597"/>
      <c r="K1311" s="1597"/>
      <c r="L1311" s="1146">
        <f>'4.NERACA'!G165</f>
        <v>0</v>
      </c>
      <c r="M1311" s="1146"/>
      <c r="N1311" s="1146"/>
      <c r="O1311" s="1597">
        <f>'4.NERACA'!H165</f>
        <v>0</v>
      </c>
      <c r="P1311" s="1597"/>
      <c r="Q1311" s="1597"/>
      <c r="R1311" s="1597">
        <f t="shared" si="29"/>
        <v>0</v>
      </c>
      <c r="S1311" s="1597"/>
      <c r="T1311" s="1597"/>
      <c r="U1311" s="1597"/>
      <c r="V1311" s="1072"/>
      <c r="W1311" s="1073"/>
      <c r="X1311" s="1073"/>
      <c r="Y1311" s="1045" t="e">
        <f t="shared" si="30"/>
        <v>#DIV/0!</v>
      </c>
      <c r="Z1311" s="1073"/>
      <c r="AA1311" s="1073"/>
      <c r="AB1311" s="1073"/>
      <c r="AC1311" s="1045">
        <f t="shared" si="31"/>
        <v>0</v>
      </c>
      <c r="AD1311" s="1046"/>
      <c r="AE1311" s="1046"/>
      <c r="AF1311" s="1046"/>
    </row>
    <row r="1312" spans="1:32" s="141" customFormat="1" ht="17.25" customHeight="1">
      <c r="A1312" s="832" t="s">
        <v>10</v>
      </c>
      <c r="B1312" s="1158">
        <f>SUM(B1304:E1311)</f>
        <v>1864950</v>
      </c>
      <c r="C1312" s="1159"/>
      <c r="D1312" s="1159"/>
      <c r="E1312" s="1160"/>
      <c r="F1312" s="1597">
        <f>SUM(F1304:H1311)</f>
        <v>0</v>
      </c>
      <c r="G1312" s="1597"/>
      <c r="H1312" s="1597"/>
      <c r="I1312" s="1597">
        <f>SUM(I1304:K1311)</f>
        <v>0</v>
      </c>
      <c r="J1312" s="1597"/>
      <c r="K1312" s="1597"/>
      <c r="L1312" s="1657">
        <f>SUM(L1304:N1311)</f>
        <v>31519413</v>
      </c>
      <c r="M1312" s="1657"/>
      <c r="N1312" s="1657"/>
      <c r="O1312" s="1657">
        <f>SUM(O1304:Q1311)</f>
        <v>29654463</v>
      </c>
      <c r="P1312" s="1657"/>
      <c r="Q1312" s="1657"/>
      <c r="R1312" s="1597">
        <f>SUM(R1304:U1311)</f>
        <v>0</v>
      </c>
      <c r="S1312" s="1597"/>
      <c r="T1312" s="1597"/>
      <c r="U1312" s="1597"/>
      <c r="V1312" s="1072"/>
      <c r="W1312" s="1073"/>
      <c r="X1312" s="1073"/>
      <c r="Y1312" s="1045">
        <f t="shared" si="30"/>
        <v>-100</v>
      </c>
      <c r="Z1312" s="1073"/>
      <c r="AA1312" s="1073"/>
      <c r="AB1312" s="1073"/>
      <c r="AC1312" s="1045">
        <f t="shared" si="31"/>
        <v>-1864950</v>
      </c>
      <c r="AD1312" s="1046"/>
      <c r="AE1312" s="1046"/>
      <c r="AF1312" s="1046"/>
    </row>
    <row r="1313" spans="1:22" s="141" customFormat="1" ht="6.75" customHeight="1">
      <c r="A1313" s="81"/>
      <c r="C1313" s="702"/>
      <c r="D1313" s="702"/>
      <c r="E1313" s="702"/>
      <c r="F1313" s="702"/>
      <c r="G1313" s="702"/>
      <c r="H1313" s="702"/>
      <c r="I1313" s="702"/>
      <c r="J1313" s="702"/>
      <c r="K1313" s="702"/>
      <c r="L1313" s="702"/>
      <c r="M1313" s="702"/>
      <c r="N1313" s="702"/>
      <c r="O1313" s="702"/>
      <c r="P1313" s="702"/>
      <c r="Q1313" s="702"/>
      <c r="R1313" s="702"/>
      <c r="S1313" s="702"/>
      <c r="T1313" s="702"/>
      <c r="U1313" s="702"/>
      <c r="V1313" s="52"/>
    </row>
    <row r="1314" spans="1:22" s="141" customFormat="1" ht="29.25" customHeight="1">
      <c r="A1314" s="81"/>
      <c r="C1314" s="1168" t="s">
        <v>1590</v>
      </c>
      <c r="D1314" s="1168"/>
      <c r="E1314" s="1168"/>
      <c r="F1314" s="1168"/>
      <c r="G1314" s="1168"/>
      <c r="H1314" s="1168"/>
      <c r="I1314" s="1168"/>
      <c r="J1314" s="1168"/>
      <c r="K1314" s="1168"/>
      <c r="L1314" s="1168"/>
      <c r="M1314" s="1168"/>
      <c r="N1314" s="1168"/>
      <c r="O1314" s="1168"/>
      <c r="P1314" s="1168"/>
      <c r="Q1314" s="1168"/>
      <c r="R1314" s="1168"/>
      <c r="S1314" s="1168"/>
      <c r="T1314" s="1168"/>
      <c r="U1314" s="1168"/>
      <c r="V1314" s="52"/>
    </row>
    <row r="1315" spans="1:22" s="141" customFormat="1" ht="15">
      <c r="A1315" s="81"/>
      <c r="C1315" s="702"/>
      <c r="D1315" s="702"/>
      <c r="E1315" s="702"/>
      <c r="F1315" s="702"/>
      <c r="G1315" s="702"/>
      <c r="H1315" s="702"/>
      <c r="I1315" s="702"/>
      <c r="J1315" s="702"/>
      <c r="K1315" s="702"/>
      <c r="L1315" s="702"/>
      <c r="M1315" s="702"/>
      <c r="N1315" s="702"/>
      <c r="O1315" s="702"/>
      <c r="P1315" s="702"/>
      <c r="Q1315" s="702"/>
      <c r="R1315" s="702"/>
      <c r="S1315" s="702"/>
      <c r="T1315" s="702"/>
      <c r="U1315" s="702"/>
      <c r="V1315" s="52"/>
    </row>
    <row r="1316" spans="1:22" s="141" customFormat="1" ht="14.25" customHeight="1">
      <c r="A1316" s="81"/>
      <c r="C1316" s="1089" t="s">
        <v>1581</v>
      </c>
      <c r="D1316" s="1089"/>
      <c r="E1316" s="1089"/>
      <c r="F1316" s="1089"/>
      <c r="G1316" s="1089"/>
      <c r="H1316" s="1089"/>
      <c r="I1316" s="1089"/>
      <c r="J1316" s="1089"/>
      <c r="K1316" s="1089"/>
      <c r="L1316" s="1089"/>
      <c r="M1316" s="1089"/>
      <c r="N1316" s="1089"/>
      <c r="O1316" s="1089"/>
      <c r="P1316" s="1089"/>
      <c r="Q1316" s="1089"/>
      <c r="R1316" s="1089"/>
      <c r="S1316" s="1089"/>
      <c r="T1316" s="1089"/>
      <c r="U1316" s="1089"/>
      <c r="V1316" s="52"/>
    </row>
    <row r="1317" spans="1:22" s="141" customFormat="1" ht="46.5" customHeight="1">
      <c r="A1317" s="82"/>
      <c r="C1317" s="1091" t="str">
        <f>"Nilai Utang Bunga  per "&amp;'2.ISIAN DATA SKPD'!D8&amp;" dan "&amp;'2.ISIAN DATA SKPD'!D12&amp;" adalah masing-masing sebesar Rp. 0 dan Rp. 0 mengalami kenaikan/penurunan sebesar Rp. 0 atau sebesar 0 % dari tahun "&amp;'2.ISIAN DATA SKPD'!D12&amp;"."</f>
        <v>Nilai Utang Bunga  per 31 Desember 2017 dan 2016 adalah masing-masing sebesar Rp. 0 dan Rp. 0 mengalami kenaikan/penurunan sebesar Rp. 0 atau sebesar 0 % dari tahun 2016.</v>
      </c>
      <c r="D1317" s="1091"/>
      <c r="E1317" s="1091"/>
      <c r="F1317" s="1091"/>
      <c r="G1317" s="1091"/>
      <c r="H1317" s="1091"/>
      <c r="I1317" s="1091"/>
      <c r="J1317" s="1091"/>
      <c r="K1317" s="1091"/>
      <c r="L1317" s="1091"/>
      <c r="M1317" s="1091"/>
      <c r="N1317" s="1091"/>
      <c r="O1317" s="1091"/>
      <c r="P1317" s="1091"/>
      <c r="Q1317" s="1091"/>
      <c r="R1317" s="1091"/>
      <c r="S1317" s="1091"/>
      <c r="T1317" s="1091"/>
      <c r="U1317" s="1091"/>
      <c r="V1317" s="52"/>
    </row>
    <row r="1318" spans="1:22" s="141" customFormat="1" ht="46.5" customHeight="1">
      <c r="A1318" s="82"/>
      <c r="C1318" s="1091" t="s">
        <v>1591</v>
      </c>
      <c r="D1318" s="1091"/>
      <c r="E1318" s="1091"/>
      <c r="F1318" s="1091"/>
      <c r="G1318" s="1091"/>
      <c r="H1318" s="1091"/>
      <c r="I1318" s="1091"/>
      <c r="J1318" s="1091"/>
      <c r="K1318" s="1091"/>
      <c r="L1318" s="1091"/>
      <c r="M1318" s="1091"/>
      <c r="N1318" s="1091"/>
      <c r="O1318" s="1091"/>
      <c r="P1318" s="1091"/>
      <c r="Q1318" s="1091"/>
      <c r="R1318" s="1091"/>
      <c r="S1318" s="1091"/>
      <c r="T1318" s="1091"/>
      <c r="U1318" s="1091"/>
      <c r="V1318" s="52"/>
    </row>
    <row r="1319" spans="1:22" s="141" customFormat="1" ht="31.5" customHeight="1">
      <c r="A1319" s="82"/>
      <c r="C1319" s="1091" t="str">
        <f>"Rincian Utang Bunga pada "&amp;'2.ISIAN DATA SKPD'!D2&amp;" per tanggal pelaporan disajikan sebagai berikut:"</f>
        <v>Rincian Utang Bunga pada Kecamatan Kaliwiro per tanggal pelaporan disajikan sebagai berikut:</v>
      </c>
      <c r="D1319" s="1091"/>
      <c r="E1319" s="1091"/>
      <c r="F1319" s="1091"/>
      <c r="G1319" s="1091"/>
      <c r="H1319" s="1091"/>
      <c r="I1319" s="1091"/>
      <c r="J1319" s="1091"/>
      <c r="K1319" s="1091"/>
      <c r="L1319" s="1091"/>
      <c r="M1319" s="1091"/>
      <c r="N1319" s="1091"/>
      <c r="O1319" s="1091"/>
      <c r="P1319" s="1091"/>
      <c r="Q1319" s="1091"/>
      <c r="R1319" s="1091"/>
      <c r="S1319" s="1091"/>
      <c r="T1319" s="1091"/>
      <c r="U1319" s="1091"/>
      <c r="V1319" s="52"/>
    </row>
    <row r="1320" spans="1:22" s="141" customFormat="1" ht="5.25" customHeight="1">
      <c r="A1320" s="82"/>
      <c r="C1320" s="783"/>
      <c r="D1320" s="783"/>
      <c r="E1320" s="783"/>
      <c r="F1320" s="783"/>
      <c r="G1320" s="783"/>
      <c r="H1320" s="783"/>
      <c r="I1320" s="783"/>
      <c r="J1320" s="783"/>
      <c r="K1320" s="783"/>
      <c r="L1320" s="783"/>
      <c r="M1320" s="783"/>
      <c r="N1320" s="783"/>
      <c r="O1320" s="783"/>
      <c r="P1320" s="783"/>
      <c r="Q1320" s="783"/>
      <c r="R1320" s="783"/>
      <c r="S1320" s="783"/>
      <c r="T1320" s="783"/>
      <c r="U1320" s="783"/>
      <c r="V1320" s="52"/>
    </row>
    <row r="1321" spans="1:22" s="141" customFormat="1" ht="14.25" customHeight="1">
      <c r="A1321" s="1156" t="s">
        <v>9</v>
      </c>
      <c r="B1321" s="1164" t="s">
        <v>762</v>
      </c>
      <c r="C1321" s="1165"/>
      <c r="D1321" s="1165"/>
      <c r="E1321" s="1166"/>
      <c r="F1321" s="1151" t="s">
        <v>190</v>
      </c>
      <c r="G1321" s="1151"/>
      <c r="H1321" s="1151"/>
      <c r="I1321" s="1151"/>
      <c r="J1321" s="1151"/>
      <c r="K1321" s="1151"/>
      <c r="L1321" s="1151" t="s">
        <v>761</v>
      </c>
      <c r="M1321" s="1151"/>
      <c r="N1321" s="1151"/>
      <c r="O1321" s="1151"/>
      <c r="P1321" s="1151"/>
      <c r="Q1321" s="1151"/>
      <c r="R1321" s="1077" t="s">
        <v>763</v>
      </c>
      <c r="S1321" s="1077"/>
      <c r="T1321" s="1077"/>
      <c r="U1321" s="1077"/>
      <c r="V1321" s="52"/>
    </row>
    <row r="1322" spans="1:32" s="141" customFormat="1" ht="14.25" customHeight="1">
      <c r="A1322" s="1157"/>
      <c r="B1322" s="1610">
        <f>B1303</f>
        <v>2016</v>
      </c>
      <c r="C1322" s="1611"/>
      <c r="D1322" s="1611"/>
      <c r="E1322" s="1612"/>
      <c r="F1322" s="1077" t="s">
        <v>419</v>
      </c>
      <c r="G1322" s="1077"/>
      <c r="H1322" s="1077"/>
      <c r="I1322" s="1077" t="s">
        <v>420</v>
      </c>
      <c r="J1322" s="1077"/>
      <c r="K1322" s="1077"/>
      <c r="L1322" s="1077" t="s">
        <v>419</v>
      </c>
      <c r="M1322" s="1077"/>
      <c r="N1322" s="1077"/>
      <c r="O1322" s="1150" t="s">
        <v>420</v>
      </c>
      <c r="P1322" s="1150"/>
      <c r="Q1322" s="1150"/>
      <c r="R1322" s="1610">
        <f>R1303</f>
        <v>2017</v>
      </c>
      <c r="S1322" s="1611"/>
      <c r="T1322" s="1611"/>
      <c r="U1322" s="1612"/>
      <c r="V1322" s="1074"/>
      <c r="W1322" s="1073"/>
      <c r="X1322" s="1073"/>
      <c r="Y1322" s="1045" t="s">
        <v>1677</v>
      </c>
      <c r="Z1322" s="1073"/>
      <c r="AA1322" s="1073"/>
      <c r="AB1322" s="1073"/>
      <c r="AC1322" s="1085" t="s">
        <v>1676</v>
      </c>
      <c r="AD1322" s="1086"/>
      <c r="AE1322" s="1086"/>
      <c r="AF1322" s="1086"/>
    </row>
    <row r="1323" spans="1:32" s="141" customFormat="1" ht="39" customHeight="1">
      <c r="A1323" s="790" t="str">
        <f>'4.NERACA'!C167</f>
        <v>Utang Bunga kepada Pemerintah</v>
      </c>
      <c r="B1323" s="1441">
        <f>'4.NERACA'!D167</f>
        <v>0</v>
      </c>
      <c r="C1323" s="1442"/>
      <c r="D1323" s="1442"/>
      <c r="E1323" s="1443"/>
      <c r="F1323" s="1444">
        <f>'4.NERACA'!E167</f>
        <v>0</v>
      </c>
      <c r="G1323" s="1444"/>
      <c r="H1323" s="1444"/>
      <c r="I1323" s="1444">
        <f>'4.NERACA'!F167</f>
        <v>0</v>
      </c>
      <c r="J1323" s="1444"/>
      <c r="K1323" s="1444"/>
      <c r="L1323" s="1444">
        <f>'4.NERACA'!G167</f>
        <v>0</v>
      </c>
      <c r="M1323" s="1444"/>
      <c r="N1323" s="1444"/>
      <c r="O1323" s="1444">
        <f>'4.NERACA'!H167</f>
        <v>0</v>
      </c>
      <c r="P1323" s="1444"/>
      <c r="Q1323" s="1444"/>
      <c r="R1323" s="1158">
        <f aca="true" t="shared" si="32" ref="R1323:R1328">B1323-F1323+I1323-L1323+O1323</f>
        <v>0</v>
      </c>
      <c r="S1323" s="1159"/>
      <c r="T1323" s="1159"/>
      <c r="U1323" s="1160"/>
      <c r="V1323" s="1072"/>
      <c r="W1323" s="1073"/>
      <c r="X1323" s="1073"/>
      <c r="Y1323" s="1045" t="e">
        <f>(R1323-B1323)/B1323*100</f>
        <v>#DIV/0!</v>
      </c>
      <c r="Z1323" s="1073"/>
      <c r="AA1323" s="1073"/>
      <c r="AB1323" s="1073"/>
      <c r="AC1323" s="1045">
        <f>R1323-B1323</f>
        <v>0</v>
      </c>
      <c r="AD1323" s="1046"/>
      <c r="AE1323" s="1046"/>
      <c r="AF1323" s="1046"/>
    </row>
    <row r="1324" spans="1:32" s="141" customFormat="1" ht="39" customHeight="1">
      <c r="A1324" s="790" t="str">
        <f>'4.NERACA'!C168</f>
        <v>Utang Bunga kepada Pemerintah Daerah Lainnya</v>
      </c>
      <c r="B1324" s="1441">
        <f>'4.NERACA'!D168</f>
        <v>0</v>
      </c>
      <c r="C1324" s="1442"/>
      <c r="D1324" s="1442"/>
      <c r="E1324" s="1443"/>
      <c r="F1324" s="1444">
        <f>'4.NERACA'!E168</f>
        <v>0</v>
      </c>
      <c r="G1324" s="1444"/>
      <c r="H1324" s="1444"/>
      <c r="I1324" s="1444">
        <f>'4.NERACA'!F168</f>
        <v>0</v>
      </c>
      <c r="J1324" s="1444"/>
      <c r="K1324" s="1444"/>
      <c r="L1324" s="1444">
        <f>'4.NERACA'!G168</f>
        <v>0</v>
      </c>
      <c r="M1324" s="1444"/>
      <c r="N1324" s="1444"/>
      <c r="O1324" s="1444">
        <f>'4.NERACA'!H168</f>
        <v>0</v>
      </c>
      <c r="P1324" s="1444"/>
      <c r="Q1324" s="1444"/>
      <c r="R1324" s="1158">
        <f t="shared" si="32"/>
        <v>0</v>
      </c>
      <c r="S1324" s="1159"/>
      <c r="T1324" s="1159"/>
      <c r="U1324" s="1160"/>
      <c r="V1324" s="1072"/>
      <c r="W1324" s="1073"/>
      <c r="X1324" s="1073"/>
      <c r="Y1324" s="1045" t="e">
        <f aca="true" t="shared" si="33" ref="Y1324:Y1329">(R1324-B1324)/B1324*100</f>
        <v>#DIV/0!</v>
      </c>
      <c r="Z1324" s="1073"/>
      <c r="AA1324" s="1073"/>
      <c r="AB1324" s="1073"/>
      <c r="AC1324" s="1045">
        <f aca="true" t="shared" si="34" ref="AC1324:AC1329">R1324-B1324</f>
        <v>0</v>
      </c>
      <c r="AD1324" s="1046"/>
      <c r="AE1324" s="1046"/>
      <c r="AF1324" s="1046"/>
    </row>
    <row r="1325" spans="1:32" s="141" customFormat="1" ht="39" customHeight="1">
      <c r="A1325" s="790" t="str">
        <f>'4.NERACA'!C169</f>
        <v>Utang Bunga Kepada BUMN/BUMD</v>
      </c>
      <c r="B1325" s="1441">
        <f>'4.NERACA'!D169</f>
        <v>0</v>
      </c>
      <c r="C1325" s="1442"/>
      <c r="D1325" s="1442"/>
      <c r="E1325" s="1443"/>
      <c r="F1325" s="1444">
        <f>'4.NERACA'!E169</f>
        <v>0</v>
      </c>
      <c r="G1325" s="1444"/>
      <c r="H1325" s="1444"/>
      <c r="I1325" s="1444">
        <f>'4.NERACA'!F169</f>
        <v>0</v>
      </c>
      <c r="J1325" s="1444"/>
      <c r="K1325" s="1444"/>
      <c r="L1325" s="1444">
        <f>'4.NERACA'!G169</f>
        <v>0</v>
      </c>
      <c r="M1325" s="1444"/>
      <c r="N1325" s="1444"/>
      <c r="O1325" s="1444">
        <f>'4.NERACA'!H169</f>
        <v>0</v>
      </c>
      <c r="P1325" s="1444"/>
      <c r="Q1325" s="1444"/>
      <c r="R1325" s="1597">
        <f t="shared" si="32"/>
        <v>0</v>
      </c>
      <c r="S1325" s="1597"/>
      <c r="T1325" s="1597"/>
      <c r="U1325" s="1597"/>
      <c r="V1325" s="1072"/>
      <c r="W1325" s="1073"/>
      <c r="X1325" s="1073"/>
      <c r="Y1325" s="1045" t="e">
        <f t="shared" si="33"/>
        <v>#DIV/0!</v>
      </c>
      <c r="Z1325" s="1073"/>
      <c r="AA1325" s="1073"/>
      <c r="AB1325" s="1073"/>
      <c r="AC1325" s="1045">
        <f t="shared" si="34"/>
        <v>0</v>
      </c>
      <c r="AD1325" s="1046"/>
      <c r="AE1325" s="1046"/>
      <c r="AF1325" s="1046"/>
    </row>
    <row r="1326" spans="1:32" s="141" customFormat="1" ht="39" customHeight="1">
      <c r="A1326" s="790" t="str">
        <f>'4.NERACA'!C170</f>
        <v>Utang Bunga kepada Bank/Lembaga Keuangan Bukan Bank</v>
      </c>
      <c r="B1326" s="1441">
        <f>'4.NERACA'!D170</f>
        <v>0</v>
      </c>
      <c r="C1326" s="1442"/>
      <c r="D1326" s="1442"/>
      <c r="E1326" s="1443"/>
      <c r="F1326" s="1444">
        <f>'4.NERACA'!E170</f>
        <v>0</v>
      </c>
      <c r="G1326" s="1444"/>
      <c r="H1326" s="1444"/>
      <c r="I1326" s="1444">
        <f>'4.NERACA'!F170</f>
        <v>0</v>
      </c>
      <c r="J1326" s="1444"/>
      <c r="K1326" s="1444"/>
      <c r="L1326" s="1444">
        <f>'4.NERACA'!G170</f>
        <v>0</v>
      </c>
      <c r="M1326" s="1444"/>
      <c r="N1326" s="1444"/>
      <c r="O1326" s="1444">
        <f>'4.NERACA'!H170</f>
        <v>0</v>
      </c>
      <c r="P1326" s="1444"/>
      <c r="Q1326" s="1444"/>
      <c r="R1326" s="1597">
        <f t="shared" si="32"/>
        <v>0</v>
      </c>
      <c r="S1326" s="1597"/>
      <c r="T1326" s="1597"/>
      <c r="U1326" s="1597"/>
      <c r="V1326" s="1072"/>
      <c r="W1326" s="1073"/>
      <c r="X1326" s="1073"/>
      <c r="Y1326" s="1045" t="e">
        <f t="shared" si="33"/>
        <v>#DIV/0!</v>
      </c>
      <c r="Z1326" s="1073"/>
      <c r="AA1326" s="1073"/>
      <c r="AB1326" s="1073"/>
      <c r="AC1326" s="1045">
        <f t="shared" si="34"/>
        <v>0</v>
      </c>
      <c r="AD1326" s="1046"/>
      <c r="AE1326" s="1046"/>
      <c r="AF1326" s="1046"/>
    </row>
    <row r="1327" spans="1:32" s="141" customFormat="1" ht="39" customHeight="1">
      <c r="A1327" s="790" t="str">
        <f>'4.NERACA'!C171</f>
        <v>Utang Bunga Dalam Negeri Lainnya</v>
      </c>
      <c r="B1327" s="1441">
        <f>'4.NERACA'!D171</f>
        <v>0</v>
      </c>
      <c r="C1327" s="1442"/>
      <c r="D1327" s="1442"/>
      <c r="E1327" s="1443"/>
      <c r="F1327" s="1444">
        <f>'4.NERACA'!E171</f>
        <v>0</v>
      </c>
      <c r="G1327" s="1444"/>
      <c r="H1327" s="1444"/>
      <c r="I1327" s="1444">
        <f>'4.NERACA'!F171</f>
        <v>0</v>
      </c>
      <c r="J1327" s="1444"/>
      <c r="K1327" s="1444"/>
      <c r="L1327" s="1444">
        <f>'4.NERACA'!G171</f>
        <v>0</v>
      </c>
      <c r="M1327" s="1444"/>
      <c r="N1327" s="1444"/>
      <c r="O1327" s="1444">
        <f>'4.NERACA'!H171</f>
        <v>0</v>
      </c>
      <c r="P1327" s="1444"/>
      <c r="Q1327" s="1444"/>
      <c r="R1327" s="1597">
        <f t="shared" si="32"/>
        <v>0</v>
      </c>
      <c r="S1327" s="1597"/>
      <c r="T1327" s="1597"/>
      <c r="U1327" s="1597"/>
      <c r="V1327" s="1072"/>
      <c r="W1327" s="1073"/>
      <c r="X1327" s="1073"/>
      <c r="Y1327" s="1045" t="e">
        <f t="shared" si="33"/>
        <v>#DIV/0!</v>
      </c>
      <c r="Z1327" s="1073"/>
      <c r="AA1327" s="1073"/>
      <c r="AB1327" s="1073"/>
      <c r="AC1327" s="1045">
        <f t="shared" si="34"/>
        <v>0</v>
      </c>
      <c r="AD1327" s="1046"/>
      <c r="AE1327" s="1046"/>
      <c r="AF1327" s="1046"/>
    </row>
    <row r="1328" spans="1:32" s="141" customFormat="1" ht="39" customHeight="1">
      <c r="A1328" s="790" t="str">
        <f>'4.NERACA'!C172</f>
        <v>Utang Bunga Luar Negeri</v>
      </c>
      <c r="B1328" s="1441">
        <f>'4.NERACA'!D172</f>
        <v>0</v>
      </c>
      <c r="C1328" s="1442"/>
      <c r="D1328" s="1442"/>
      <c r="E1328" s="1443"/>
      <c r="F1328" s="1444">
        <f>'4.NERACA'!E172</f>
        <v>0</v>
      </c>
      <c r="G1328" s="1444"/>
      <c r="H1328" s="1444"/>
      <c r="I1328" s="1444">
        <f>'4.NERACA'!F172</f>
        <v>0</v>
      </c>
      <c r="J1328" s="1444"/>
      <c r="K1328" s="1444"/>
      <c r="L1328" s="1444">
        <f>'4.NERACA'!G172</f>
        <v>0</v>
      </c>
      <c r="M1328" s="1444"/>
      <c r="N1328" s="1444"/>
      <c r="O1328" s="1444">
        <f>'4.NERACA'!H172</f>
        <v>0</v>
      </c>
      <c r="P1328" s="1444"/>
      <c r="Q1328" s="1444"/>
      <c r="R1328" s="1597">
        <f t="shared" si="32"/>
        <v>0</v>
      </c>
      <c r="S1328" s="1597"/>
      <c r="T1328" s="1597"/>
      <c r="U1328" s="1597"/>
      <c r="V1328" s="1072"/>
      <c r="W1328" s="1073"/>
      <c r="X1328" s="1073"/>
      <c r="Y1328" s="1045" t="e">
        <f t="shared" si="33"/>
        <v>#DIV/0!</v>
      </c>
      <c r="Z1328" s="1073"/>
      <c r="AA1328" s="1073"/>
      <c r="AB1328" s="1073"/>
      <c r="AC1328" s="1045">
        <f t="shared" si="34"/>
        <v>0</v>
      </c>
      <c r="AD1328" s="1046"/>
      <c r="AE1328" s="1046"/>
      <c r="AF1328" s="1046"/>
    </row>
    <row r="1329" spans="1:32" s="141" customFormat="1" ht="22.5" customHeight="1">
      <c r="A1329" s="791" t="s">
        <v>10</v>
      </c>
      <c r="B1329" s="1441">
        <f>SUM(B1323:E1328)</f>
        <v>0</v>
      </c>
      <c r="C1329" s="1442"/>
      <c r="D1329" s="1442"/>
      <c r="E1329" s="1443"/>
      <c r="F1329" s="1444">
        <f>SUM(F1323:H1328)</f>
        <v>0</v>
      </c>
      <c r="G1329" s="1444"/>
      <c r="H1329" s="1444"/>
      <c r="I1329" s="1444">
        <f>SUM(I1323:K1328)</f>
        <v>0</v>
      </c>
      <c r="J1329" s="1444"/>
      <c r="K1329" s="1444"/>
      <c r="L1329" s="1444">
        <f>SUM(L1323:N1328)</f>
        <v>0</v>
      </c>
      <c r="M1329" s="1444"/>
      <c r="N1329" s="1444"/>
      <c r="O1329" s="1444">
        <f>SUM(O1323:Q1328)</f>
        <v>0</v>
      </c>
      <c r="P1329" s="1444"/>
      <c r="Q1329" s="1444"/>
      <c r="R1329" s="1444">
        <f>SUM(R1323:U1328)</f>
        <v>0</v>
      </c>
      <c r="S1329" s="1444"/>
      <c r="T1329" s="1444"/>
      <c r="U1329" s="1444"/>
      <c r="V1329" s="1072"/>
      <c r="W1329" s="1073"/>
      <c r="X1329" s="1073"/>
      <c r="Y1329" s="1045" t="e">
        <f t="shared" si="33"/>
        <v>#DIV/0!</v>
      </c>
      <c r="Z1329" s="1073"/>
      <c r="AA1329" s="1073"/>
      <c r="AB1329" s="1073"/>
      <c r="AC1329" s="1045">
        <f t="shared" si="34"/>
        <v>0</v>
      </c>
      <c r="AD1329" s="1046"/>
      <c r="AE1329" s="1046"/>
      <c r="AF1329" s="1046"/>
    </row>
    <row r="1330" spans="1:22" s="141" customFormat="1" ht="7.5" customHeight="1">
      <c r="A1330" s="84"/>
      <c r="B1330" s="10"/>
      <c r="C1330" s="10"/>
      <c r="D1330" s="10"/>
      <c r="E1330" s="10"/>
      <c r="F1330" s="11"/>
      <c r="G1330" s="11"/>
      <c r="H1330" s="11"/>
      <c r="I1330" s="11"/>
      <c r="J1330" s="11"/>
      <c r="K1330" s="11"/>
      <c r="L1330" s="11"/>
      <c r="M1330" s="11"/>
      <c r="N1330" s="11"/>
      <c r="O1330" s="11"/>
      <c r="P1330" s="11"/>
      <c r="Q1330" s="11"/>
      <c r="R1330" s="10"/>
      <c r="S1330" s="10"/>
      <c r="T1330" s="10"/>
      <c r="U1330" s="10"/>
      <c r="V1330" s="52"/>
    </row>
    <row r="1331" spans="1:22" s="141" customFormat="1" ht="18" customHeight="1">
      <c r="A1331" s="84"/>
      <c r="B1331" s="792"/>
      <c r="C1331" s="1089" t="s">
        <v>1582</v>
      </c>
      <c r="D1331" s="1089"/>
      <c r="E1331" s="1089"/>
      <c r="F1331" s="1089"/>
      <c r="G1331" s="1089"/>
      <c r="H1331" s="1089"/>
      <c r="I1331" s="1089"/>
      <c r="J1331" s="1089"/>
      <c r="K1331" s="1089"/>
      <c r="L1331" s="1089"/>
      <c r="M1331" s="1089"/>
      <c r="N1331" s="1089"/>
      <c r="O1331" s="1089"/>
      <c r="P1331" s="1089"/>
      <c r="Q1331" s="1089"/>
      <c r="R1331" s="1089"/>
      <c r="S1331" s="1089"/>
      <c r="T1331" s="1089"/>
      <c r="U1331" s="1089"/>
      <c r="V1331" s="52"/>
    </row>
    <row r="1332" spans="1:22" s="141" customFormat="1" ht="45.75" customHeight="1">
      <c r="A1332" s="82"/>
      <c r="C1332" s="1091" t="str">
        <f>"Nilai Bagian Lancar Utang Jangka Panjang  per "&amp;'2.ISIAN DATA SKPD'!D16&amp;" dan "&amp;'2.ISIAN DATA SKPD'!D25&amp;" adalah masing-masing sebesar Rp. 0 dan Rp. 0 mengalami kenaikan/penurunan sebesar Rp. 0 atau sebesar 0 % dari tahun "&amp;'2.ISIAN DATA SKPD'!D12&amp;"."</f>
        <v>Nilai Bagian Lancar Utang Jangka Panjang  per  dan  adalah masing-masing sebesar Rp. 0 dan Rp. 0 mengalami kenaikan/penurunan sebesar Rp. 0 atau sebesar 0 % dari tahun 2016.</v>
      </c>
      <c r="D1332" s="1091"/>
      <c r="E1332" s="1091"/>
      <c r="F1332" s="1091"/>
      <c r="G1332" s="1091"/>
      <c r="H1332" s="1091"/>
      <c r="I1332" s="1091"/>
      <c r="J1332" s="1091"/>
      <c r="K1332" s="1091"/>
      <c r="L1332" s="1091"/>
      <c r="M1332" s="1091"/>
      <c r="N1332" s="1091"/>
      <c r="O1332" s="1091"/>
      <c r="P1332" s="1091"/>
      <c r="Q1332" s="1091"/>
      <c r="R1332" s="1091"/>
      <c r="S1332" s="1091"/>
      <c r="T1332" s="1091"/>
      <c r="U1332" s="1091"/>
      <c r="V1332" s="52"/>
    </row>
    <row r="1333" spans="1:22" s="141" customFormat="1" ht="33.75" customHeight="1">
      <c r="A1333" s="82"/>
      <c r="C1333" s="1091" t="str">
        <f>"Rincian Bagian Lancar Utang Jangka Panjang  pada "&amp;'2.ISIAN DATA SKPD'!D2&amp;" per tanggal pelaporan disajikan sebagai berikut:"</f>
        <v>Rincian Bagian Lancar Utang Jangka Panjang  pada Kecamatan Kaliwiro per tanggal pelaporan disajikan sebagai berikut:</v>
      </c>
      <c r="D1333" s="1091"/>
      <c r="E1333" s="1091"/>
      <c r="F1333" s="1091"/>
      <c r="G1333" s="1091"/>
      <c r="H1333" s="1091"/>
      <c r="I1333" s="1091"/>
      <c r="J1333" s="1091"/>
      <c r="K1333" s="1091"/>
      <c r="L1333" s="1091"/>
      <c r="M1333" s="1091"/>
      <c r="N1333" s="1091"/>
      <c r="O1333" s="1091"/>
      <c r="P1333" s="1091"/>
      <c r="Q1333" s="1091"/>
      <c r="R1333" s="1091"/>
      <c r="S1333" s="1091"/>
      <c r="T1333" s="1091"/>
      <c r="U1333" s="1091"/>
      <c r="V1333" s="52"/>
    </row>
    <row r="1334" spans="1:22" s="141" customFormat="1" ht="12.75" customHeight="1">
      <c r="A1334" s="82"/>
      <c r="C1334" s="702"/>
      <c r="D1334" s="702"/>
      <c r="E1334" s="702"/>
      <c r="F1334" s="702"/>
      <c r="G1334" s="702"/>
      <c r="H1334" s="702"/>
      <c r="I1334" s="702"/>
      <c r="J1334" s="702"/>
      <c r="K1334" s="702"/>
      <c r="L1334" s="702"/>
      <c r="M1334" s="702"/>
      <c r="N1334" s="702"/>
      <c r="O1334" s="702"/>
      <c r="P1334" s="702"/>
      <c r="Q1334" s="702"/>
      <c r="R1334" s="702"/>
      <c r="S1334" s="702"/>
      <c r="T1334" s="702"/>
      <c r="U1334" s="702"/>
      <c r="V1334" s="52"/>
    </row>
    <row r="1335" spans="1:22" s="141" customFormat="1" ht="13.5" customHeight="1">
      <c r="A1335" s="1156" t="s">
        <v>9</v>
      </c>
      <c r="B1335" s="1408" t="s">
        <v>762</v>
      </c>
      <c r="C1335" s="1409"/>
      <c r="D1335" s="1409"/>
      <c r="E1335" s="1410"/>
      <c r="F1335" s="1178" t="s">
        <v>190</v>
      </c>
      <c r="G1335" s="1178"/>
      <c r="H1335" s="1178"/>
      <c r="I1335" s="1178"/>
      <c r="J1335" s="1178"/>
      <c r="K1335" s="1178"/>
      <c r="L1335" s="1178" t="s">
        <v>761</v>
      </c>
      <c r="M1335" s="1178"/>
      <c r="N1335" s="1178"/>
      <c r="O1335" s="1178"/>
      <c r="P1335" s="1178"/>
      <c r="Q1335" s="1178"/>
      <c r="R1335" s="1169" t="s">
        <v>763</v>
      </c>
      <c r="S1335" s="1169"/>
      <c r="T1335" s="1169"/>
      <c r="U1335" s="1169"/>
      <c r="V1335" s="52"/>
    </row>
    <row r="1336" spans="1:32" s="141" customFormat="1" ht="13.5" customHeight="1">
      <c r="A1336" s="1157"/>
      <c r="B1336" s="1610">
        <f>B1322</f>
        <v>2016</v>
      </c>
      <c r="C1336" s="1611"/>
      <c r="D1336" s="1611"/>
      <c r="E1336" s="1612"/>
      <c r="F1336" s="1169" t="s">
        <v>419</v>
      </c>
      <c r="G1336" s="1169"/>
      <c r="H1336" s="1169"/>
      <c r="I1336" s="1169" t="s">
        <v>420</v>
      </c>
      <c r="J1336" s="1169"/>
      <c r="K1336" s="1169"/>
      <c r="L1336" s="1169" t="s">
        <v>419</v>
      </c>
      <c r="M1336" s="1169"/>
      <c r="N1336" s="1169"/>
      <c r="O1336" s="1170" t="s">
        <v>420</v>
      </c>
      <c r="P1336" s="1170"/>
      <c r="Q1336" s="1170"/>
      <c r="R1336" s="1610">
        <f>R1322</f>
        <v>2017</v>
      </c>
      <c r="S1336" s="1611"/>
      <c r="T1336" s="1611"/>
      <c r="U1336" s="1612"/>
      <c r="V1336" s="1074"/>
      <c r="W1336" s="1073"/>
      <c r="X1336" s="1073"/>
      <c r="Y1336" s="1045" t="s">
        <v>1677</v>
      </c>
      <c r="Z1336" s="1073"/>
      <c r="AA1336" s="1073"/>
      <c r="AB1336" s="1073"/>
      <c r="AC1336" s="1085" t="s">
        <v>1676</v>
      </c>
      <c r="AD1336" s="1086"/>
      <c r="AE1336" s="1086"/>
      <c r="AF1336" s="1086"/>
    </row>
    <row r="1337" spans="1:32" s="141" customFormat="1" ht="39.75" customHeight="1">
      <c r="A1337" s="790" t="str">
        <f>'4.NERACA'!C174</f>
        <v>Bagian Lancar Utang Dalam Negeri Sektor Perbankan</v>
      </c>
      <c r="B1337" s="1158">
        <f>'4.NERACA'!D174</f>
        <v>0</v>
      </c>
      <c r="C1337" s="1159"/>
      <c r="D1337" s="1159"/>
      <c r="E1337" s="1160"/>
      <c r="F1337" s="1597">
        <f>'4.NERACA'!E174</f>
        <v>0</v>
      </c>
      <c r="G1337" s="1597"/>
      <c r="H1337" s="1597"/>
      <c r="I1337" s="1597">
        <f>'4.NERACA'!F174</f>
        <v>0</v>
      </c>
      <c r="J1337" s="1597"/>
      <c r="K1337" s="1597"/>
      <c r="L1337" s="1597">
        <f>'4.NERACA'!G174</f>
        <v>0</v>
      </c>
      <c r="M1337" s="1597"/>
      <c r="N1337" s="1597"/>
      <c r="O1337" s="1597">
        <f>'4.NERACA'!H174</f>
        <v>0</v>
      </c>
      <c r="P1337" s="1597"/>
      <c r="Q1337" s="1597"/>
      <c r="R1337" s="1597">
        <f>B1337-F1337+I1337-L1337+O1337</f>
        <v>0</v>
      </c>
      <c r="S1337" s="1597"/>
      <c r="T1337" s="1597"/>
      <c r="U1337" s="1597"/>
      <c r="V1337" s="1072"/>
      <c r="W1337" s="1073"/>
      <c r="X1337" s="1073"/>
      <c r="Y1337" s="1045" t="e">
        <f aca="true" t="shared" si="35" ref="Y1337:Y1342">(R1337-B1337)/B1337*100</f>
        <v>#DIV/0!</v>
      </c>
      <c r="Z1337" s="1073"/>
      <c r="AA1337" s="1073"/>
      <c r="AB1337" s="1073"/>
      <c r="AC1337" s="1045">
        <f aca="true" t="shared" si="36" ref="AC1337:AC1342">R1337-B1337</f>
        <v>0</v>
      </c>
      <c r="AD1337" s="1046"/>
      <c r="AE1337" s="1046"/>
      <c r="AF1337" s="1046"/>
    </row>
    <row r="1338" spans="1:32" s="141" customFormat="1" ht="39.75" customHeight="1">
      <c r="A1338" s="790" t="str">
        <f>'4.NERACA'!C175</f>
        <v>Bagian Lancar Utang dari Lembaga Keuangan Bukan Bank</v>
      </c>
      <c r="B1338" s="1158">
        <f>'4.NERACA'!D175</f>
        <v>0</v>
      </c>
      <c r="C1338" s="1159"/>
      <c r="D1338" s="1159"/>
      <c r="E1338" s="1160"/>
      <c r="F1338" s="1597">
        <f>'4.NERACA'!E175</f>
        <v>0</v>
      </c>
      <c r="G1338" s="1597"/>
      <c r="H1338" s="1597"/>
      <c r="I1338" s="1597">
        <f>'4.NERACA'!F175</f>
        <v>0</v>
      </c>
      <c r="J1338" s="1597"/>
      <c r="K1338" s="1597"/>
      <c r="L1338" s="1597">
        <f>'4.NERACA'!G175</f>
        <v>0</v>
      </c>
      <c r="M1338" s="1597"/>
      <c r="N1338" s="1597"/>
      <c r="O1338" s="1597">
        <f>'4.NERACA'!H175</f>
        <v>0</v>
      </c>
      <c r="P1338" s="1597"/>
      <c r="Q1338" s="1597"/>
      <c r="R1338" s="1597">
        <f>B1338-F1338+I1338-L1338+O1338</f>
        <v>0</v>
      </c>
      <c r="S1338" s="1597"/>
      <c r="T1338" s="1597"/>
      <c r="U1338" s="1597"/>
      <c r="V1338" s="1072"/>
      <c r="W1338" s="1073"/>
      <c r="X1338" s="1073"/>
      <c r="Y1338" s="1045" t="e">
        <f t="shared" si="35"/>
        <v>#DIV/0!</v>
      </c>
      <c r="Z1338" s="1073"/>
      <c r="AA1338" s="1073"/>
      <c r="AB1338" s="1073"/>
      <c r="AC1338" s="1045">
        <f t="shared" si="36"/>
        <v>0</v>
      </c>
      <c r="AD1338" s="1046"/>
      <c r="AE1338" s="1046"/>
      <c r="AF1338" s="1046"/>
    </row>
    <row r="1339" spans="1:32" s="141" customFormat="1" ht="39.75" customHeight="1">
      <c r="A1339" s="790" t="str">
        <f>'4.NERACA'!C176</f>
        <v>Bagian Lancar Utang Pemerintah Pusat</v>
      </c>
      <c r="B1339" s="1158">
        <f>'4.NERACA'!D176</f>
        <v>0</v>
      </c>
      <c r="C1339" s="1159"/>
      <c r="D1339" s="1159"/>
      <c r="E1339" s="1160"/>
      <c r="F1339" s="1597">
        <f>'4.NERACA'!E176</f>
        <v>0</v>
      </c>
      <c r="G1339" s="1597"/>
      <c r="H1339" s="1597"/>
      <c r="I1339" s="1597">
        <f>'4.NERACA'!F176</f>
        <v>0</v>
      </c>
      <c r="J1339" s="1597"/>
      <c r="K1339" s="1597"/>
      <c r="L1339" s="1597">
        <f>'4.NERACA'!G176</f>
        <v>0</v>
      </c>
      <c r="M1339" s="1597"/>
      <c r="N1339" s="1597"/>
      <c r="O1339" s="1597">
        <f>'4.NERACA'!H176</f>
        <v>0</v>
      </c>
      <c r="P1339" s="1597"/>
      <c r="Q1339" s="1597"/>
      <c r="R1339" s="1597">
        <f>B1339-F1339+I1339-L1339+O1339</f>
        <v>0</v>
      </c>
      <c r="S1339" s="1597"/>
      <c r="T1339" s="1597"/>
      <c r="U1339" s="1597"/>
      <c r="V1339" s="1072"/>
      <c r="W1339" s="1073"/>
      <c r="X1339" s="1073"/>
      <c r="Y1339" s="1045" t="e">
        <f t="shared" si="35"/>
        <v>#DIV/0!</v>
      </c>
      <c r="Z1339" s="1073"/>
      <c r="AA1339" s="1073"/>
      <c r="AB1339" s="1073"/>
      <c r="AC1339" s="1045">
        <f t="shared" si="36"/>
        <v>0</v>
      </c>
      <c r="AD1339" s="1046"/>
      <c r="AE1339" s="1046"/>
      <c r="AF1339" s="1046"/>
    </row>
    <row r="1340" spans="1:32" s="141" customFormat="1" ht="39.75" customHeight="1">
      <c r="A1340" s="790" t="str">
        <f>'4.NERACA'!C177</f>
        <v>Bagian Lancar Utang Pemerintah Provinsi Lainnya</v>
      </c>
      <c r="B1340" s="1158">
        <f>'4.NERACA'!D177</f>
        <v>0</v>
      </c>
      <c r="C1340" s="1159"/>
      <c r="D1340" s="1159"/>
      <c r="E1340" s="1160"/>
      <c r="F1340" s="1597">
        <f>'4.NERACA'!E177</f>
        <v>0</v>
      </c>
      <c r="G1340" s="1597"/>
      <c r="H1340" s="1597"/>
      <c r="I1340" s="1597">
        <f>'4.NERACA'!F177</f>
        <v>0</v>
      </c>
      <c r="J1340" s="1597"/>
      <c r="K1340" s="1597"/>
      <c r="L1340" s="1597">
        <f>'4.NERACA'!G177</f>
        <v>0</v>
      </c>
      <c r="M1340" s="1597"/>
      <c r="N1340" s="1597"/>
      <c r="O1340" s="1597">
        <f>'4.NERACA'!H177</f>
        <v>0</v>
      </c>
      <c r="P1340" s="1597"/>
      <c r="Q1340" s="1597"/>
      <c r="R1340" s="1597">
        <f>B1340-F1340+I1340-L1340+O1340</f>
        <v>0</v>
      </c>
      <c r="S1340" s="1597"/>
      <c r="T1340" s="1597"/>
      <c r="U1340" s="1597"/>
      <c r="V1340" s="1072"/>
      <c r="W1340" s="1073"/>
      <c r="X1340" s="1073"/>
      <c r="Y1340" s="1045" t="e">
        <f t="shared" si="35"/>
        <v>#DIV/0!</v>
      </c>
      <c r="Z1340" s="1073"/>
      <c r="AA1340" s="1073"/>
      <c r="AB1340" s="1073"/>
      <c r="AC1340" s="1045">
        <f t="shared" si="36"/>
        <v>0</v>
      </c>
      <c r="AD1340" s="1046"/>
      <c r="AE1340" s="1046"/>
      <c r="AF1340" s="1046"/>
    </row>
    <row r="1341" spans="1:32" s="141" customFormat="1" ht="39.75" customHeight="1">
      <c r="A1341" s="790" t="str">
        <f>'4.NERACA'!C178</f>
        <v>Bagian Lancar Utang Pemerintah Kabupaten/Kota</v>
      </c>
      <c r="B1341" s="1158">
        <f>'4.NERACA'!D178</f>
        <v>0</v>
      </c>
      <c r="C1341" s="1159"/>
      <c r="D1341" s="1159"/>
      <c r="E1341" s="1160"/>
      <c r="F1341" s="1597">
        <f>'4.NERACA'!E178</f>
        <v>0</v>
      </c>
      <c r="G1341" s="1597"/>
      <c r="H1341" s="1597"/>
      <c r="I1341" s="1597">
        <f>'4.NERACA'!F178</f>
        <v>0</v>
      </c>
      <c r="J1341" s="1597"/>
      <c r="K1341" s="1597"/>
      <c r="L1341" s="1597">
        <f>'4.NERACA'!G178</f>
        <v>0</v>
      </c>
      <c r="M1341" s="1597"/>
      <c r="N1341" s="1597"/>
      <c r="O1341" s="1597">
        <f>'4.NERACA'!H178</f>
        <v>0</v>
      </c>
      <c r="P1341" s="1597"/>
      <c r="Q1341" s="1597"/>
      <c r="R1341" s="1597">
        <f>B1341-F1341+I1341-L1341+O1341</f>
        <v>0</v>
      </c>
      <c r="S1341" s="1597"/>
      <c r="T1341" s="1597"/>
      <c r="U1341" s="1597"/>
      <c r="V1341" s="1072"/>
      <c r="W1341" s="1073"/>
      <c r="X1341" s="1073"/>
      <c r="Y1341" s="1045" t="e">
        <f t="shared" si="35"/>
        <v>#DIV/0!</v>
      </c>
      <c r="Z1341" s="1073"/>
      <c r="AA1341" s="1073"/>
      <c r="AB1341" s="1073"/>
      <c r="AC1341" s="1045">
        <f t="shared" si="36"/>
        <v>0</v>
      </c>
      <c r="AD1341" s="1046"/>
      <c r="AE1341" s="1046"/>
      <c r="AF1341" s="1046"/>
    </row>
    <row r="1342" spans="1:32" s="141" customFormat="1" ht="22.5" customHeight="1">
      <c r="A1342" s="793" t="s">
        <v>10</v>
      </c>
      <c r="B1342" s="1158">
        <f>SUM(B1337:E1341)</f>
        <v>0</v>
      </c>
      <c r="C1342" s="1159"/>
      <c r="D1342" s="1159"/>
      <c r="E1342" s="1160"/>
      <c r="F1342" s="1597">
        <f>SUM(F1337:H1341)</f>
        <v>0</v>
      </c>
      <c r="G1342" s="1597"/>
      <c r="H1342" s="1597"/>
      <c r="I1342" s="1597">
        <f>SUM(I1337:K1341)</f>
        <v>0</v>
      </c>
      <c r="J1342" s="1597"/>
      <c r="K1342" s="1597"/>
      <c r="L1342" s="1597">
        <f>SUM(L1337:N1341)</f>
        <v>0</v>
      </c>
      <c r="M1342" s="1597"/>
      <c r="N1342" s="1597"/>
      <c r="O1342" s="1597">
        <f>SUM(O1337:Q1341)</f>
        <v>0</v>
      </c>
      <c r="P1342" s="1597"/>
      <c r="Q1342" s="1597"/>
      <c r="R1342" s="1597">
        <f>SUM(R1337:U1341)</f>
        <v>0</v>
      </c>
      <c r="S1342" s="1597"/>
      <c r="T1342" s="1597"/>
      <c r="U1342" s="1597"/>
      <c r="V1342" s="1758"/>
      <c r="W1342" s="1759"/>
      <c r="X1342" s="1759"/>
      <c r="Y1342" s="1752" t="e">
        <f t="shared" si="35"/>
        <v>#DIV/0!</v>
      </c>
      <c r="Z1342" s="1759"/>
      <c r="AA1342" s="1759"/>
      <c r="AB1342" s="1759"/>
      <c r="AC1342" s="1752">
        <f t="shared" si="36"/>
        <v>0</v>
      </c>
      <c r="AD1342" s="1753"/>
      <c r="AE1342" s="1753"/>
      <c r="AF1342" s="1753"/>
    </row>
    <row r="1343" spans="1:32" s="141" customFormat="1" ht="15.75" customHeight="1">
      <c r="A1343" s="84"/>
      <c r="B1343" s="10"/>
      <c r="C1343" s="10"/>
      <c r="D1343" s="10"/>
      <c r="E1343" s="10"/>
      <c r="F1343" s="11"/>
      <c r="G1343" s="11"/>
      <c r="H1343" s="11"/>
      <c r="I1343" s="11"/>
      <c r="J1343" s="11"/>
      <c r="K1343" s="11"/>
      <c r="L1343" s="11"/>
      <c r="M1343" s="11"/>
      <c r="N1343" s="11"/>
      <c r="O1343" s="11"/>
      <c r="P1343" s="11"/>
      <c r="Q1343" s="11"/>
      <c r="R1343" s="10"/>
      <c r="S1343" s="10"/>
      <c r="T1343" s="10"/>
      <c r="U1343" s="10"/>
      <c r="V1343" s="1755"/>
      <c r="W1343" s="1511"/>
      <c r="X1343" s="1511"/>
      <c r="Y1343" s="1756"/>
      <c r="Z1343" s="1511"/>
      <c r="AA1343" s="1511"/>
      <c r="AB1343" s="1511"/>
      <c r="AC1343" s="1756"/>
      <c r="AD1343" s="1757"/>
      <c r="AE1343" s="1757"/>
      <c r="AF1343" s="1757"/>
    </row>
    <row r="1344" spans="1:22" s="141" customFormat="1" ht="15.75" customHeight="1">
      <c r="A1344" s="82"/>
      <c r="B1344" s="647"/>
      <c r="C1344" s="1089" t="s">
        <v>1583</v>
      </c>
      <c r="D1344" s="1089"/>
      <c r="E1344" s="1089"/>
      <c r="F1344" s="1089"/>
      <c r="G1344" s="1089"/>
      <c r="H1344" s="1089"/>
      <c r="I1344" s="1089"/>
      <c r="J1344" s="1089"/>
      <c r="K1344" s="1089"/>
      <c r="L1344" s="1089"/>
      <c r="M1344" s="1089"/>
      <c r="N1344" s="1089"/>
      <c r="O1344" s="1089"/>
      <c r="P1344" s="1089"/>
      <c r="Q1344" s="1089"/>
      <c r="R1344" s="1089"/>
      <c r="S1344" s="1089"/>
      <c r="T1344" s="1089"/>
      <c r="U1344" s="1089"/>
      <c r="V1344" s="52"/>
    </row>
    <row r="1345" spans="1:22" s="141" customFormat="1" ht="46.5" customHeight="1">
      <c r="A1345" s="82"/>
      <c r="C1345" s="1091" t="str">
        <f>"Nilai Pendapatan Diterima di Muka per "&amp;'2.ISIAN DATA SKPD'!D8&amp;" dan "&amp;'2.ISIAN DATA SKPD'!D12&amp;" adalah masing-masing sebesar Rp. 0 dan Rp. 0 mengalami kenaikan/penurunan sebesar Rp. 0 atau sebesar 0 % dari tahun "&amp;'2.ISIAN DATA SKPD'!D12&amp;"."</f>
        <v>Nilai Pendapatan Diterima di Muka per 31 Desember 2017 dan 2016 adalah masing-masing sebesar Rp. 0 dan Rp. 0 mengalami kenaikan/penurunan sebesar Rp. 0 atau sebesar 0 % dari tahun 2016.</v>
      </c>
      <c r="D1345" s="1091"/>
      <c r="E1345" s="1091"/>
      <c r="F1345" s="1091"/>
      <c r="G1345" s="1091"/>
      <c r="H1345" s="1091"/>
      <c r="I1345" s="1091"/>
      <c r="J1345" s="1091"/>
      <c r="K1345" s="1091"/>
      <c r="L1345" s="1091"/>
      <c r="M1345" s="1091"/>
      <c r="N1345" s="1091"/>
      <c r="O1345" s="1091"/>
      <c r="P1345" s="1091"/>
      <c r="Q1345" s="1091"/>
      <c r="R1345" s="1091"/>
      <c r="S1345" s="1091"/>
      <c r="T1345" s="1091"/>
      <c r="U1345" s="1091"/>
      <c r="V1345" s="52"/>
    </row>
    <row r="1346" spans="1:22" s="141" customFormat="1" ht="45.75" customHeight="1">
      <c r="A1346" s="82"/>
      <c r="C1346" s="1091" t="s">
        <v>1592</v>
      </c>
      <c r="D1346" s="1091"/>
      <c r="E1346" s="1091"/>
      <c r="F1346" s="1091"/>
      <c r="G1346" s="1091"/>
      <c r="H1346" s="1091"/>
      <c r="I1346" s="1091"/>
      <c r="J1346" s="1091"/>
      <c r="K1346" s="1091"/>
      <c r="L1346" s="1091"/>
      <c r="M1346" s="1091"/>
      <c r="N1346" s="1091"/>
      <c r="O1346" s="1091"/>
      <c r="P1346" s="1091"/>
      <c r="Q1346" s="1091"/>
      <c r="R1346" s="1091"/>
      <c r="S1346" s="1091"/>
      <c r="T1346" s="1091"/>
      <c r="U1346" s="1091"/>
      <c r="V1346" s="52"/>
    </row>
    <row r="1347" spans="1:22" s="141" customFormat="1" ht="6.75" customHeight="1">
      <c r="A1347" s="82"/>
      <c r="C1347" s="702"/>
      <c r="D1347" s="702"/>
      <c r="E1347" s="702"/>
      <c r="F1347" s="702"/>
      <c r="G1347" s="702"/>
      <c r="H1347" s="702"/>
      <c r="I1347" s="702"/>
      <c r="J1347" s="702"/>
      <c r="K1347" s="702"/>
      <c r="L1347" s="702"/>
      <c r="M1347" s="702"/>
      <c r="N1347" s="702"/>
      <c r="O1347" s="702"/>
      <c r="P1347" s="702"/>
      <c r="Q1347" s="702"/>
      <c r="R1347" s="702"/>
      <c r="S1347" s="702"/>
      <c r="T1347" s="702"/>
      <c r="U1347" s="702"/>
      <c r="V1347" s="52"/>
    </row>
    <row r="1348" spans="1:22" s="141" customFormat="1" ht="21" customHeight="1">
      <c r="A1348" s="1679" t="s">
        <v>9</v>
      </c>
      <c r="B1348" s="1077" t="s">
        <v>762</v>
      </c>
      <c r="C1348" s="1077"/>
      <c r="D1348" s="1077"/>
      <c r="E1348" s="1077"/>
      <c r="F1348" s="1151" t="s">
        <v>190</v>
      </c>
      <c r="G1348" s="1151"/>
      <c r="H1348" s="1151"/>
      <c r="I1348" s="1151"/>
      <c r="J1348" s="1151"/>
      <c r="K1348" s="1151"/>
      <c r="L1348" s="1151" t="s">
        <v>761</v>
      </c>
      <c r="M1348" s="1151"/>
      <c r="N1348" s="1151"/>
      <c r="O1348" s="1151"/>
      <c r="P1348" s="1151"/>
      <c r="Q1348" s="1151"/>
      <c r="R1348" s="1077" t="s">
        <v>763</v>
      </c>
      <c r="S1348" s="1077"/>
      <c r="T1348" s="1077"/>
      <c r="U1348" s="1077"/>
      <c r="V1348" s="52"/>
    </row>
    <row r="1349" spans="1:32" s="141" customFormat="1" ht="15" customHeight="1">
      <c r="A1349" s="1157"/>
      <c r="B1349" s="1658">
        <f>B1211</f>
        <v>2016</v>
      </c>
      <c r="C1349" s="1659"/>
      <c r="D1349" s="1659"/>
      <c r="E1349" s="1660"/>
      <c r="F1349" s="1662" t="s">
        <v>419</v>
      </c>
      <c r="G1349" s="1662"/>
      <c r="H1349" s="1662"/>
      <c r="I1349" s="1662" t="s">
        <v>420</v>
      </c>
      <c r="J1349" s="1662"/>
      <c r="K1349" s="1662"/>
      <c r="L1349" s="1662" t="s">
        <v>419</v>
      </c>
      <c r="M1349" s="1662"/>
      <c r="N1349" s="1662"/>
      <c r="O1349" s="1661" t="s">
        <v>420</v>
      </c>
      <c r="P1349" s="1661"/>
      <c r="Q1349" s="1661"/>
      <c r="R1349" s="1658">
        <f>R1211</f>
        <v>2017</v>
      </c>
      <c r="S1349" s="1659"/>
      <c r="T1349" s="1659"/>
      <c r="U1349" s="1660"/>
      <c r="V1349" s="1074"/>
      <c r="W1349" s="1073"/>
      <c r="X1349" s="1073"/>
      <c r="Y1349" s="1045" t="s">
        <v>1677</v>
      </c>
      <c r="Z1349" s="1073"/>
      <c r="AA1349" s="1073"/>
      <c r="AB1349" s="1073"/>
      <c r="AC1349" s="1085" t="s">
        <v>1676</v>
      </c>
      <c r="AD1349" s="1086"/>
      <c r="AE1349" s="1086"/>
      <c r="AF1349" s="1086"/>
    </row>
    <row r="1350" spans="1:32" s="141" customFormat="1" ht="52.5" customHeight="1">
      <c r="A1350" s="790" t="str">
        <f>'4.NERACA'!C180</f>
        <v>Setoran Kelebihan Pembayaran Dari Pihak III</v>
      </c>
      <c r="B1350" s="1158">
        <f>'4.NERACA'!D180</f>
        <v>0</v>
      </c>
      <c r="C1350" s="1159"/>
      <c r="D1350" s="1159"/>
      <c r="E1350" s="1160"/>
      <c r="F1350" s="1597">
        <f>'4.NERACA'!E180</f>
        <v>0</v>
      </c>
      <c r="G1350" s="1597"/>
      <c r="H1350" s="1597"/>
      <c r="I1350" s="1597">
        <f>'4.NERACA'!F180</f>
        <v>0</v>
      </c>
      <c r="J1350" s="1597"/>
      <c r="K1350" s="1597"/>
      <c r="L1350" s="1597">
        <f>'4.NERACA'!G180</f>
        <v>0</v>
      </c>
      <c r="M1350" s="1597"/>
      <c r="N1350" s="1597"/>
      <c r="O1350" s="1597">
        <f>'4.NERACA'!H180</f>
        <v>0</v>
      </c>
      <c r="P1350" s="1597"/>
      <c r="Q1350" s="1597"/>
      <c r="R1350" s="1597">
        <f>B1350-F1350+I1350-L1350+O1350</f>
        <v>0</v>
      </c>
      <c r="S1350" s="1597"/>
      <c r="T1350" s="1597"/>
      <c r="U1350" s="1597"/>
      <c r="V1350" s="1072"/>
      <c r="W1350" s="1073"/>
      <c r="X1350" s="1073"/>
      <c r="Y1350" s="1045" t="e">
        <f>(R1350-B1350)/B1350*100</f>
        <v>#DIV/0!</v>
      </c>
      <c r="Z1350" s="1073"/>
      <c r="AA1350" s="1073"/>
      <c r="AB1350" s="1073"/>
      <c r="AC1350" s="1045">
        <f>R1350-B1350</f>
        <v>0</v>
      </c>
      <c r="AD1350" s="1046"/>
      <c r="AE1350" s="1046"/>
      <c r="AF1350" s="1046"/>
    </row>
    <row r="1351" spans="1:32" s="141" customFormat="1" ht="52.5" customHeight="1">
      <c r="A1351" s="790" t="str">
        <f>'4.NERACA'!C181</f>
        <v>Uang Muka Penjualan Produk Pemda Dari Pihak III</v>
      </c>
      <c r="B1351" s="1158">
        <f>'4.NERACA'!D181</f>
        <v>0</v>
      </c>
      <c r="C1351" s="1159"/>
      <c r="D1351" s="1159"/>
      <c r="E1351" s="1160"/>
      <c r="F1351" s="1597">
        <f>'4.NERACA'!E181</f>
        <v>0</v>
      </c>
      <c r="G1351" s="1597"/>
      <c r="H1351" s="1597"/>
      <c r="I1351" s="1597">
        <f>'4.NERACA'!F181</f>
        <v>0</v>
      </c>
      <c r="J1351" s="1597"/>
      <c r="K1351" s="1597"/>
      <c r="L1351" s="1597">
        <f>'4.NERACA'!G181</f>
        <v>0</v>
      </c>
      <c r="M1351" s="1597"/>
      <c r="N1351" s="1597"/>
      <c r="O1351" s="1597">
        <f>'4.NERACA'!H181</f>
        <v>0</v>
      </c>
      <c r="P1351" s="1597"/>
      <c r="Q1351" s="1597"/>
      <c r="R1351" s="1597">
        <f>B1351-F1351+I1351-L1351+O1351</f>
        <v>0</v>
      </c>
      <c r="S1351" s="1597"/>
      <c r="T1351" s="1597"/>
      <c r="U1351" s="1597"/>
      <c r="V1351" s="1072"/>
      <c r="W1351" s="1073"/>
      <c r="X1351" s="1073"/>
      <c r="Y1351" s="1045" t="e">
        <f>(R1351-B1351)/B1351*100</f>
        <v>#DIV/0!</v>
      </c>
      <c r="Z1351" s="1073"/>
      <c r="AA1351" s="1073"/>
      <c r="AB1351" s="1073"/>
      <c r="AC1351" s="1045">
        <f>R1351-B1351</f>
        <v>0</v>
      </c>
      <c r="AD1351" s="1046"/>
      <c r="AE1351" s="1046"/>
      <c r="AF1351" s="1046"/>
    </row>
    <row r="1352" spans="1:32" s="141" customFormat="1" ht="38.25" customHeight="1">
      <c r="A1352" s="790" t="str">
        <f>'4.NERACA'!C182</f>
        <v>Uang Muka Lelang Penjualan Aset Daerah</v>
      </c>
      <c r="B1352" s="1158">
        <f>'4.NERACA'!D182</f>
        <v>0</v>
      </c>
      <c r="C1352" s="1159"/>
      <c r="D1352" s="1159"/>
      <c r="E1352" s="1160"/>
      <c r="F1352" s="1597">
        <f>'4.NERACA'!E182</f>
        <v>0</v>
      </c>
      <c r="G1352" s="1597"/>
      <c r="H1352" s="1597"/>
      <c r="I1352" s="1597">
        <f>'4.NERACA'!F182</f>
        <v>0</v>
      </c>
      <c r="J1352" s="1597"/>
      <c r="K1352" s="1597"/>
      <c r="L1352" s="1597">
        <f>'4.NERACA'!G182</f>
        <v>0</v>
      </c>
      <c r="M1352" s="1597"/>
      <c r="N1352" s="1597"/>
      <c r="O1352" s="1597">
        <f>'4.NERACA'!H182</f>
        <v>0</v>
      </c>
      <c r="P1352" s="1597"/>
      <c r="Q1352" s="1597"/>
      <c r="R1352" s="1597">
        <f>B1352-F1352+I1352-L1352+O1352</f>
        <v>0</v>
      </c>
      <c r="S1352" s="1597"/>
      <c r="T1352" s="1597"/>
      <c r="U1352" s="1597"/>
      <c r="V1352" s="1072"/>
      <c r="W1352" s="1073"/>
      <c r="X1352" s="1073"/>
      <c r="Y1352" s="1045" t="e">
        <f>(R1352-B1352)/B1352*100</f>
        <v>#DIV/0!</v>
      </c>
      <c r="Z1352" s="1073"/>
      <c r="AA1352" s="1073"/>
      <c r="AB1352" s="1073"/>
      <c r="AC1352" s="1045">
        <f>R1352-B1352</f>
        <v>0</v>
      </c>
      <c r="AD1352" s="1046"/>
      <c r="AE1352" s="1046"/>
      <c r="AF1352" s="1046"/>
    </row>
    <row r="1353" spans="1:32" s="141" customFormat="1" ht="38.25" customHeight="1">
      <c r="A1353" s="790" t="str">
        <f>'4.NERACA'!C183</f>
        <v>Pendapatan Diterima Dimuka lainnya</v>
      </c>
      <c r="B1353" s="1158">
        <f>'4.NERACA'!D183</f>
        <v>0</v>
      </c>
      <c r="C1353" s="1159"/>
      <c r="D1353" s="1159"/>
      <c r="E1353" s="1160"/>
      <c r="F1353" s="1597">
        <f>'4.NERACA'!E183</f>
        <v>0</v>
      </c>
      <c r="G1353" s="1597"/>
      <c r="H1353" s="1597"/>
      <c r="I1353" s="1597">
        <f>'4.NERACA'!F183</f>
        <v>0</v>
      </c>
      <c r="J1353" s="1597"/>
      <c r="K1353" s="1597"/>
      <c r="L1353" s="1597">
        <f>'4.NERACA'!G183</f>
        <v>0</v>
      </c>
      <c r="M1353" s="1597"/>
      <c r="N1353" s="1597"/>
      <c r="O1353" s="1597">
        <f>'4.NERACA'!H183</f>
        <v>0</v>
      </c>
      <c r="P1353" s="1597"/>
      <c r="Q1353" s="1597"/>
      <c r="R1353" s="1597">
        <f>B1353-F1353+I1353-L1353+O1353</f>
        <v>0</v>
      </c>
      <c r="S1353" s="1597"/>
      <c r="T1353" s="1597"/>
      <c r="U1353" s="1597"/>
      <c r="V1353" s="1072"/>
      <c r="W1353" s="1073"/>
      <c r="X1353" s="1073"/>
      <c r="Y1353" s="1045" t="e">
        <f>(R1353-B1353)/B1353*100</f>
        <v>#DIV/0!</v>
      </c>
      <c r="Z1353" s="1073"/>
      <c r="AA1353" s="1073"/>
      <c r="AB1353" s="1073"/>
      <c r="AC1353" s="1045">
        <f>R1353-B1353</f>
        <v>0</v>
      </c>
      <c r="AD1353" s="1046"/>
      <c r="AE1353" s="1046"/>
      <c r="AF1353" s="1046"/>
    </row>
    <row r="1354" spans="1:32" s="141" customFormat="1" ht="22.5" customHeight="1">
      <c r="A1354" s="791" t="s">
        <v>10</v>
      </c>
      <c r="B1354" s="1158">
        <f>SUM(B1350:E1353)</f>
        <v>0</v>
      </c>
      <c r="C1354" s="1159"/>
      <c r="D1354" s="1159"/>
      <c r="E1354" s="1160"/>
      <c r="F1354" s="1597">
        <f>SUM(F1350:H1353)</f>
        <v>0</v>
      </c>
      <c r="G1354" s="1597"/>
      <c r="H1354" s="1597"/>
      <c r="I1354" s="1597">
        <f>SUM(I1350:K1353)</f>
        <v>0</v>
      </c>
      <c r="J1354" s="1597"/>
      <c r="K1354" s="1597"/>
      <c r="L1354" s="1597">
        <f>SUM(L1350:N1353)</f>
        <v>0</v>
      </c>
      <c r="M1354" s="1597"/>
      <c r="N1354" s="1597"/>
      <c r="O1354" s="1597">
        <f>SUM(O1350:Q1353)</f>
        <v>0</v>
      </c>
      <c r="P1354" s="1597"/>
      <c r="Q1354" s="1597"/>
      <c r="R1354" s="1597">
        <f>SUM(R1350:U1353)</f>
        <v>0</v>
      </c>
      <c r="S1354" s="1597"/>
      <c r="T1354" s="1597"/>
      <c r="U1354" s="1597"/>
      <c r="V1354" s="1072"/>
      <c r="W1354" s="1073"/>
      <c r="X1354" s="1073"/>
      <c r="Y1354" s="1045" t="e">
        <f>(R1354-B1354)/B1354*100</f>
        <v>#DIV/0!</v>
      </c>
      <c r="Z1354" s="1073"/>
      <c r="AA1354" s="1073"/>
      <c r="AB1354" s="1073"/>
      <c r="AC1354" s="1045">
        <f>R1354-B1354</f>
        <v>0</v>
      </c>
      <c r="AD1354" s="1046"/>
      <c r="AE1354" s="1046"/>
      <c r="AF1354" s="1046"/>
    </row>
    <row r="1355" spans="1:33" s="141" customFormat="1" ht="15">
      <c r="A1355" s="82"/>
      <c r="B1355" s="37"/>
      <c r="C1355" s="37"/>
      <c r="D1355" s="37"/>
      <c r="E1355" s="37"/>
      <c r="F1355" s="37"/>
      <c r="G1355" s="37"/>
      <c r="H1355" s="37"/>
      <c r="I1355" s="37"/>
      <c r="J1355" s="37"/>
      <c r="K1355" s="37"/>
      <c r="L1355" s="37"/>
      <c r="M1355" s="37"/>
      <c r="N1355" s="37"/>
      <c r="O1355" s="37"/>
      <c r="P1355" s="37"/>
      <c r="Q1355" s="37"/>
      <c r="R1355" s="37"/>
      <c r="S1355" s="37"/>
      <c r="T1355" s="654"/>
      <c r="U1355" s="654"/>
      <c r="V1355" s="1081"/>
      <c r="W1355" s="1760"/>
      <c r="X1355" s="1760"/>
      <c r="Y1355" s="1082"/>
      <c r="Z1355" s="1760"/>
      <c r="AA1355" s="1760"/>
      <c r="AB1355" s="1760"/>
      <c r="AC1355" s="1082"/>
      <c r="AD1355" s="1083"/>
      <c r="AE1355" s="1083"/>
      <c r="AF1355" s="1083"/>
      <c r="AG1355" s="130"/>
    </row>
    <row r="1356" spans="1:22" s="141" customFormat="1" ht="15.75" customHeight="1">
      <c r="A1356" s="82"/>
      <c r="B1356" s="647"/>
      <c r="C1356" s="1089" t="s">
        <v>1584</v>
      </c>
      <c r="D1356" s="1089"/>
      <c r="E1356" s="1089"/>
      <c r="F1356" s="1089"/>
      <c r="G1356" s="1089"/>
      <c r="H1356" s="1089"/>
      <c r="I1356" s="1089"/>
      <c r="J1356" s="1089"/>
      <c r="K1356" s="1089"/>
      <c r="L1356" s="1089"/>
      <c r="M1356" s="1089"/>
      <c r="N1356" s="1089"/>
      <c r="O1356" s="1089"/>
      <c r="P1356" s="1089"/>
      <c r="Q1356" s="1089"/>
      <c r="R1356" s="1089"/>
      <c r="S1356" s="1089"/>
      <c r="T1356" s="1089"/>
      <c r="U1356" s="1089"/>
      <c r="V1356" s="52"/>
    </row>
    <row r="1357" spans="1:22" s="141" customFormat="1" ht="63.75" customHeight="1">
      <c r="A1357" s="82"/>
      <c r="C1357" s="1091" t="str">
        <f>"Nilai Utang Belanja per "&amp;'2.ISIAN DATA SKPD'!D8&amp;" dan "&amp;'2.ISIAN DATA SKPD'!D12&amp;"  adalah masing-masing sebesar Rp. "&amp;FIXED(R1367)&amp;" dan Rp. "&amp;FIXED(B1367)&amp;" mengalami kenaikan/penurunan sebesar Rp. "&amp;FIXED(AC1367)&amp;" atau "&amp;FIXED(Y1367)&amp;"% dari tahun "&amp;'2.ISIAN DATA SKPD'!D12&amp;"."</f>
        <v>Nilai Utang Belanja per 31 Desember 2017 dan 2016  adalah masing-masing sebesar Rp. 0.00 dan Rp. 1,459,607.00 mengalami kenaikan/penurunan sebesar Rp. -1,459,607.00 atau -100.00% dari tahun 2016.</v>
      </c>
      <c r="D1357" s="1091"/>
      <c r="E1357" s="1091"/>
      <c r="F1357" s="1091"/>
      <c r="G1357" s="1091"/>
      <c r="H1357" s="1091"/>
      <c r="I1357" s="1091"/>
      <c r="J1357" s="1091"/>
      <c r="K1357" s="1091"/>
      <c r="L1357" s="1091"/>
      <c r="M1357" s="1091"/>
      <c r="N1357" s="1091"/>
      <c r="O1357" s="1091"/>
      <c r="P1357" s="1091"/>
      <c r="Q1357" s="1091"/>
      <c r="R1357" s="1091"/>
      <c r="S1357" s="1091"/>
      <c r="T1357" s="1091"/>
      <c r="U1357" s="1091"/>
      <c r="V1357" s="52"/>
    </row>
    <row r="1358" spans="1:22" s="141" customFormat="1" ht="15">
      <c r="A1358" s="82"/>
      <c r="C1358" s="783"/>
      <c r="D1358" s="783"/>
      <c r="E1358" s="783"/>
      <c r="F1358" s="783"/>
      <c r="G1358" s="783"/>
      <c r="H1358" s="783"/>
      <c r="I1358" s="783"/>
      <c r="J1358" s="783"/>
      <c r="K1358" s="783"/>
      <c r="L1358" s="783"/>
      <c r="M1358" s="783"/>
      <c r="N1358" s="783"/>
      <c r="O1358" s="783"/>
      <c r="P1358" s="783"/>
      <c r="Q1358" s="783"/>
      <c r="R1358" s="783"/>
      <c r="S1358" s="783"/>
      <c r="T1358" s="783"/>
      <c r="U1358" s="783"/>
      <c r="V1358" s="52"/>
    </row>
    <row r="1359" spans="1:22" s="141" customFormat="1" ht="15">
      <c r="A1359" s="1156" t="s">
        <v>9</v>
      </c>
      <c r="B1359" s="1164" t="s">
        <v>762</v>
      </c>
      <c r="C1359" s="1165"/>
      <c r="D1359" s="1165"/>
      <c r="E1359" s="1166"/>
      <c r="F1359" s="1151" t="s">
        <v>190</v>
      </c>
      <c r="G1359" s="1151"/>
      <c r="H1359" s="1151"/>
      <c r="I1359" s="1151"/>
      <c r="J1359" s="1151"/>
      <c r="K1359" s="1151"/>
      <c r="L1359" s="1151" t="s">
        <v>761</v>
      </c>
      <c r="M1359" s="1151"/>
      <c r="N1359" s="1151"/>
      <c r="O1359" s="1151"/>
      <c r="P1359" s="1151"/>
      <c r="Q1359" s="1151"/>
      <c r="R1359" s="1077" t="s">
        <v>763</v>
      </c>
      <c r="S1359" s="1077"/>
      <c r="T1359" s="1077"/>
      <c r="U1359" s="1077"/>
      <c r="V1359" s="52"/>
    </row>
    <row r="1360" spans="1:32" s="141" customFormat="1" ht="15">
      <c r="A1360" s="1157"/>
      <c r="B1360" s="1610">
        <f>B1349</f>
        <v>2016</v>
      </c>
      <c r="C1360" s="1611"/>
      <c r="D1360" s="1611"/>
      <c r="E1360" s="1612"/>
      <c r="F1360" s="1077" t="s">
        <v>419</v>
      </c>
      <c r="G1360" s="1077"/>
      <c r="H1360" s="1077"/>
      <c r="I1360" s="1077" t="s">
        <v>420</v>
      </c>
      <c r="J1360" s="1077"/>
      <c r="K1360" s="1077"/>
      <c r="L1360" s="1077" t="s">
        <v>419</v>
      </c>
      <c r="M1360" s="1077"/>
      <c r="N1360" s="1077"/>
      <c r="O1360" s="1150" t="s">
        <v>420</v>
      </c>
      <c r="P1360" s="1150"/>
      <c r="Q1360" s="1150"/>
      <c r="R1360" s="1610">
        <f>R1349</f>
        <v>2017</v>
      </c>
      <c r="S1360" s="1611"/>
      <c r="T1360" s="1611"/>
      <c r="U1360" s="1612"/>
      <c r="V1360" s="1074"/>
      <c r="W1360" s="1073"/>
      <c r="X1360" s="1073"/>
      <c r="Y1360" s="1045" t="s">
        <v>1677</v>
      </c>
      <c r="Z1360" s="1073"/>
      <c r="AA1360" s="1073"/>
      <c r="AB1360" s="1073"/>
      <c r="AC1360" s="1085" t="s">
        <v>1676</v>
      </c>
      <c r="AD1360" s="1086"/>
      <c r="AE1360" s="1086"/>
      <c r="AF1360" s="1086"/>
    </row>
    <row r="1361" spans="1:32" s="141" customFormat="1" ht="25.5" customHeight="1">
      <c r="A1361" s="790" t="str">
        <f>'4.NERACA'!C185</f>
        <v>Utang Belanja Pegawai</v>
      </c>
      <c r="B1361" s="1158">
        <f>'4.NERACA'!D185</f>
        <v>0</v>
      </c>
      <c r="C1361" s="1159"/>
      <c r="D1361" s="1159"/>
      <c r="E1361" s="1160"/>
      <c r="F1361" s="1597">
        <f>'4.NERACA'!E185</f>
        <v>0</v>
      </c>
      <c r="G1361" s="1597"/>
      <c r="H1361" s="1597"/>
      <c r="I1361" s="1597">
        <f>'4.NERACA'!F185</f>
        <v>0</v>
      </c>
      <c r="J1361" s="1597"/>
      <c r="K1361" s="1597"/>
      <c r="L1361" s="1597">
        <f>'4.NERACA'!G185</f>
        <v>0</v>
      </c>
      <c r="M1361" s="1597"/>
      <c r="N1361" s="1597"/>
      <c r="O1361" s="1597">
        <f>'4.NERACA'!H185</f>
        <v>0</v>
      </c>
      <c r="P1361" s="1597"/>
      <c r="Q1361" s="1597"/>
      <c r="R1361" s="1597">
        <f aca="true" t="shared" si="37" ref="R1361:R1366">B1361-F1361+I1361-L1361+O1361</f>
        <v>0</v>
      </c>
      <c r="S1361" s="1597"/>
      <c r="T1361" s="1597"/>
      <c r="U1361" s="1597"/>
      <c r="V1361" s="1072"/>
      <c r="W1361" s="1073"/>
      <c r="X1361" s="1073"/>
      <c r="Y1361" s="1045" t="e">
        <f aca="true" t="shared" si="38" ref="Y1361:Y1367">(R1361-B1361)/B1361*100</f>
        <v>#DIV/0!</v>
      </c>
      <c r="Z1361" s="1073"/>
      <c r="AA1361" s="1073"/>
      <c r="AB1361" s="1073"/>
      <c r="AC1361" s="1045">
        <f aca="true" t="shared" si="39" ref="AC1361:AC1367">R1361-B1361</f>
        <v>0</v>
      </c>
      <c r="AD1361" s="1046"/>
      <c r="AE1361" s="1046"/>
      <c r="AF1361" s="1046"/>
    </row>
    <row r="1362" spans="1:32" s="141" customFormat="1" ht="37.5" customHeight="1">
      <c r="A1362" s="790" t="str">
        <f>'4.NERACA'!C186</f>
        <v>Utang Belanja Barang dan Jasa</v>
      </c>
      <c r="B1362" s="1158">
        <f>'4.NERACA'!D186</f>
        <v>1459607</v>
      </c>
      <c r="C1362" s="1159"/>
      <c r="D1362" s="1159"/>
      <c r="E1362" s="1160"/>
      <c r="F1362" s="1597">
        <f>'4.NERACA'!E186</f>
        <v>0</v>
      </c>
      <c r="G1362" s="1597"/>
      <c r="H1362" s="1597"/>
      <c r="I1362" s="1597">
        <f>'4.NERACA'!F186</f>
        <v>0</v>
      </c>
      <c r="J1362" s="1597"/>
      <c r="K1362" s="1597"/>
      <c r="L1362" s="1657">
        <f>'4.NERACA'!G186</f>
        <v>1459607</v>
      </c>
      <c r="M1362" s="1657"/>
      <c r="N1362" s="1657"/>
      <c r="O1362" s="1597">
        <f>'4.NERACA'!H186</f>
        <v>0</v>
      </c>
      <c r="P1362" s="1597"/>
      <c r="Q1362" s="1597"/>
      <c r="R1362" s="1597">
        <f t="shared" si="37"/>
        <v>0</v>
      </c>
      <c r="S1362" s="1597"/>
      <c r="T1362" s="1597"/>
      <c r="U1362" s="1597"/>
      <c r="V1362" s="1072"/>
      <c r="W1362" s="1073"/>
      <c r="X1362" s="1073"/>
      <c r="Y1362" s="1045">
        <f t="shared" si="38"/>
        <v>-100</v>
      </c>
      <c r="Z1362" s="1073"/>
      <c r="AA1362" s="1073"/>
      <c r="AB1362" s="1073"/>
      <c r="AC1362" s="1045">
        <f t="shared" si="39"/>
        <v>-1459607</v>
      </c>
      <c r="AD1362" s="1046"/>
      <c r="AE1362" s="1046"/>
      <c r="AF1362" s="1046"/>
    </row>
    <row r="1363" spans="1:32" s="141" customFormat="1" ht="27.75" customHeight="1">
      <c r="A1363" s="790" t="str">
        <f>'4.NERACA'!C187</f>
        <v>Utang Belanja Modal</v>
      </c>
      <c r="B1363" s="1158">
        <f>'4.NERACA'!D187</f>
        <v>0</v>
      </c>
      <c r="C1363" s="1159"/>
      <c r="D1363" s="1159"/>
      <c r="E1363" s="1160"/>
      <c r="F1363" s="1597">
        <f>'4.NERACA'!E187</f>
        <v>0</v>
      </c>
      <c r="G1363" s="1597"/>
      <c r="H1363" s="1597"/>
      <c r="I1363" s="1597">
        <f>'4.NERACA'!F187</f>
        <v>0</v>
      </c>
      <c r="J1363" s="1597"/>
      <c r="K1363" s="1597"/>
      <c r="L1363" s="1597">
        <f>'4.NERACA'!G187</f>
        <v>0</v>
      </c>
      <c r="M1363" s="1597"/>
      <c r="N1363" s="1597"/>
      <c r="O1363" s="1597">
        <f>'4.NERACA'!H187</f>
        <v>0</v>
      </c>
      <c r="P1363" s="1597"/>
      <c r="Q1363" s="1597"/>
      <c r="R1363" s="1597">
        <f t="shared" si="37"/>
        <v>0</v>
      </c>
      <c r="S1363" s="1597"/>
      <c r="T1363" s="1597"/>
      <c r="U1363" s="1597"/>
      <c r="V1363" s="1072"/>
      <c r="W1363" s="1073"/>
      <c r="X1363" s="1073"/>
      <c r="Y1363" s="1045" t="e">
        <f t="shared" si="38"/>
        <v>#DIV/0!</v>
      </c>
      <c r="Z1363" s="1073"/>
      <c r="AA1363" s="1073"/>
      <c r="AB1363" s="1073"/>
      <c r="AC1363" s="1045">
        <f t="shared" si="39"/>
        <v>0</v>
      </c>
      <c r="AD1363" s="1046"/>
      <c r="AE1363" s="1046"/>
      <c r="AF1363" s="1046"/>
    </row>
    <row r="1364" spans="1:32" s="141" customFormat="1" ht="27.75" customHeight="1">
      <c r="A1364" s="790" t="str">
        <f>'4.NERACA'!C188</f>
        <v>Utang Belanja Subsidi</v>
      </c>
      <c r="B1364" s="1158">
        <f>'4.NERACA'!D188</f>
        <v>0</v>
      </c>
      <c r="C1364" s="1159"/>
      <c r="D1364" s="1159"/>
      <c r="E1364" s="1160"/>
      <c r="F1364" s="1597">
        <f>'4.NERACA'!E188</f>
        <v>0</v>
      </c>
      <c r="G1364" s="1597"/>
      <c r="H1364" s="1597"/>
      <c r="I1364" s="1597">
        <f>'4.NERACA'!F188</f>
        <v>0</v>
      </c>
      <c r="J1364" s="1597"/>
      <c r="K1364" s="1597"/>
      <c r="L1364" s="1597">
        <f>'4.NERACA'!G188</f>
        <v>0</v>
      </c>
      <c r="M1364" s="1597"/>
      <c r="N1364" s="1597"/>
      <c r="O1364" s="1597">
        <f>'4.NERACA'!H188</f>
        <v>0</v>
      </c>
      <c r="P1364" s="1597"/>
      <c r="Q1364" s="1597"/>
      <c r="R1364" s="1597">
        <f t="shared" si="37"/>
        <v>0</v>
      </c>
      <c r="S1364" s="1597"/>
      <c r="T1364" s="1597"/>
      <c r="U1364" s="1597"/>
      <c r="V1364" s="1072"/>
      <c r="W1364" s="1073"/>
      <c r="X1364" s="1073"/>
      <c r="Y1364" s="1045" t="e">
        <f t="shared" si="38"/>
        <v>#DIV/0!</v>
      </c>
      <c r="Z1364" s="1073"/>
      <c r="AA1364" s="1073"/>
      <c r="AB1364" s="1073"/>
      <c r="AC1364" s="1045">
        <f t="shared" si="39"/>
        <v>0</v>
      </c>
      <c r="AD1364" s="1046"/>
      <c r="AE1364" s="1046"/>
      <c r="AF1364" s="1046"/>
    </row>
    <row r="1365" spans="1:32" s="141" customFormat="1" ht="39.75" customHeight="1">
      <c r="A1365" s="790" t="str">
        <f>'4.NERACA'!C189</f>
        <v>Utang Transfer Pemerintah Daerah Lainnya</v>
      </c>
      <c r="B1365" s="1158">
        <f>'4.NERACA'!D189</f>
        <v>0</v>
      </c>
      <c r="C1365" s="1159"/>
      <c r="D1365" s="1159"/>
      <c r="E1365" s="1160"/>
      <c r="F1365" s="1597">
        <f>'4.NERACA'!E189</f>
        <v>0</v>
      </c>
      <c r="G1365" s="1597"/>
      <c r="H1365" s="1597"/>
      <c r="I1365" s="1597">
        <f>'4.NERACA'!F189</f>
        <v>0</v>
      </c>
      <c r="J1365" s="1597"/>
      <c r="K1365" s="1597"/>
      <c r="L1365" s="1597">
        <f>'4.NERACA'!G189</f>
        <v>0</v>
      </c>
      <c r="M1365" s="1597"/>
      <c r="N1365" s="1597"/>
      <c r="O1365" s="1597">
        <f>'4.NERACA'!H189</f>
        <v>0</v>
      </c>
      <c r="P1365" s="1597"/>
      <c r="Q1365" s="1597"/>
      <c r="R1365" s="1597">
        <f t="shared" si="37"/>
        <v>0</v>
      </c>
      <c r="S1365" s="1597"/>
      <c r="T1365" s="1597"/>
      <c r="U1365" s="1597"/>
      <c r="V1365" s="1072"/>
      <c r="W1365" s="1073"/>
      <c r="X1365" s="1073"/>
      <c r="Y1365" s="1045" t="e">
        <f t="shared" si="38"/>
        <v>#DIV/0!</v>
      </c>
      <c r="Z1365" s="1073"/>
      <c r="AA1365" s="1073"/>
      <c r="AB1365" s="1073"/>
      <c r="AC1365" s="1045">
        <f t="shared" si="39"/>
        <v>0</v>
      </c>
      <c r="AD1365" s="1046"/>
      <c r="AE1365" s="1046"/>
      <c r="AF1365" s="1046"/>
    </row>
    <row r="1366" spans="1:32" s="141" customFormat="1" ht="27" customHeight="1">
      <c r="A1366" s="790" t="str">
        <f>'4.NERACA'!C190</f>
        <v>Utang Belanja Lain-lain</v>
      </c>
      <c r="B1366" s="1158">
        <f>'4.NERACA'!D190</f>
        <v>0</v>
      </c>
      <c r="C1366" s="1159"/>
      <c r="D1366" s="1159"/>
      <c r="E1366" s="1160"/>
      <c r="F1366" s="1597">
        <f>'4.NERACA'!E190</f>
        <v>0</v>
      </c>
      <c r="G1366" s="1597"/>
      <c r="H1366" s="1597"/>
      <c r="I1366" s="1597">
        <f>'4.NERACA'!F190</f>
        <v>0</v>
      </c>
      <c r="J1366" s="1597"/>
      <c r="K1366" s="1597"/>
      <c r="L1366" s="1597">
        <f>'4.NERACA'!G190</f>
        <v>0</v>
      </c>
      <c r="M1366" s="1597"/>
      <c r="N1366" s="1597"/>
      <c r="O1366" s="1597">
        <f>'4.NERACA'!H190</f>
        <v>0</v>
      </c>
      <c r="P1366" s="1597"/>
      <c r="Q1366" s="1597"/>
      <c r="R1366" s="1597">
        <f t="shared" si="37"/>
        <v>0</v>
      </c>
      <c r="S1366" s="1597"/>
      <c r="T1366" s="1597"/>
      <c r="U1366" s="1597"/>
      <c r="V1366" s="1072"/>
      <c r="W1366" s="1073"/>
      <c r="X1366" s="1073"/>
      <c r="Y1366" s="1045" t="e">
        <f t="shared" si="38"/>
        <v>#DIV/0!</v>
      </c>
      <c r="Z1366" s="1073"/>
      <c r="AA1366" s="1073"/>
      <c r="AB1366" s="1073"/>
      <c r="AC1366" s="1045">
        <f t="shared" si="39"/>
        <v>0</v>
      </c>
      <c r="AD1366" s="1046"/>
      <c r="AE1366" s="1046"/>
      <c r="AF1366" s="1046"/>
    </row>
    <row r="1367" spans="1:32" s="141" customFormat="1" ht="22.5" customHeight="1">
      <c r="A1367" s="793" t="s">
        <v>10</v>
      </c>
      <c r="B1367" s="1460">
        <f>SUM(B1361:E1366)</f>
        <v>1459607</v>
      </c>
      <c r="C1367" s="1461"/>
      <c r="D1367" s="1461"/>
      <c r="E1367" s="1462"/>
      <c r="F1367" s="1663">
        <f>SUM(F1361:H1366)</f>
        <v>0</v>
      </c>
      <c r="G1367" s="1663"/>
      <c r="H1367" s="1663"/>
      <c r="I1367" s="1663">
        <f>SUM(I1361:K1366)</f>
        <v>0</v>
      </c>
      <c r="J1367" s="1663"/>
      <c r="K1367" s="1663"/>
      <c r="L1367" s="1664">
        <f>SUM(L1361:N1366)</f>
        <v>1459607</v>
      </c>
      <c r="M1367" s="1664"/>
      <c r="N1367" s="1664"/>
      <c r="O1367" s="1663">
        <f>SUM(O1361:Q1366)</f>
        <v>0</v>
      </c>
      <c r="P1367" s="1663"/>
      <c r="Q1367" s="1663"/>
      <c r="R1367" s="1663">
        <f>SUM(R1361:U1366)</f>
        <v>0</v>
      </c>
      <c r="S1367" s="1663"/>
      <c r="T1367" s="1663"/>
      <c r="U1367" s="1663"/>
      <c r="V1367" s="1072"/>
      <c r="W1367" s="1073"/>
      <c r="X1367" s="1073"/>
      <c r="Y1367" s="1045">
        <f t="shared" si="38"/>
        <v>-100</v>
      </c>
      <c r="Z1367" s="1073"/>
      <c r="AA1367" s="1073"/>
      <c r="AB1367" s="1073"/>
      <c r="AC1367" s="1045">
        <f t="shared" si="39"/>
        <v>-1459607</v>
      </c>
      <c r="AD1367" s="1046"/>
      <c r="AE1367" s="1046"/>
      <c r="AF1367" s="1046"/>
    </row>
    <row r="1368" spans="1:22" s="141" customFormat="1" ht="23.25" customHeight="1">
      <c r="A1368" s="82"/>
      <c r="B1368" s="37"/>
      <c r="C1368" s="37"/>
      <c r="D1368" s="37"/>
      <c r="E1368" s="37"/>
      <c r="F1368" s="37"/>
      <c r="G1368" s="37"/>
      <c r="H1368" s="37"/>
      <c r="I1368" s="37"/>
      <c r="J1368" s="37"/>
      <c r="K1368" s="37"/>
      <c r="L1368" s="37"/>
      <c r="M1368" s="37"/>
      <c r="N1368" s="37"/>
      <c r="O1368" s="37"/>
      <c r="P1368" s="37"/>
      <c r="Q1368" s="37"/>
      <c r="R1368" s="37"/>
      <c r="S1368" s="37"/>
      <c r="T1368" s="654"/>
      <c r="U1368" s="654"/>
      <c r="V1368" s="52"/>
    </row>
    <row r="1369" spans="1:22" s="141" customFormat="1" ht="23.25" customHeight="1">
      <c r="A1369" s="838"/>
      <c r="B1369" s="834"/>
      <c r="C1369" s="834"/>
      <c r="D1369" s="834"/>
      <c r="E1369" s="834"/>
      <c r="F1369" s="834"/>
      <c r="G1369" s="834"/>
      <c r="H1369" s="834"/>
      <c r="I1369" s="834"/>
      <c r="J1369" s="834"/>
      <c r="K1369" s="834"/>
      <c r="L1369" s="834"/>
      <c r="M1369" s="834"/>
      <c r="N1369" s="834"/>
      <c r="O1369" s="834"/>
      <c r="P1369" s="834"/>
      <c r="Q1369" s="834"/>
      <c r="R1369" s="834"/>
      <c r="S1369" s="834"/>
      <c r="T1369" s="654"/>
      <c r="U1369" s="654"/>
      <c r="V1369" s="52"/>
    </row>
    <row r="1370" spans="1:22" s="141" customFormat="1" ht="16.5" customHeight="1">
      <c r="A1370" s="82"/>
      <c r="B1370" s="647"/>
      <c r="C1370" s="1089" t="s">
        <v>1585</v>
      </c>
      <c r="D1370" s="1089"/>
      <c r="E1370" s="1089"/>
      <c r="F1370" s="1089"/>
      <c r="G1370" s="1089"/>
      <c r="H1370" s="1089"/>
      <c r="I1370" s="1089"/>
      <c r="J1370" s="1089"/>
      <c r="K1370" s="1089"/>
      <c r="L1370" s="1089"/>
      <c r="M1370" s="1089"/>
      <c r="N1370" s="1089"/>
      <c r="O1370" s="1089"/>
      <c r="P1370" s="1089"/>
      <c r="Q1370" s="1089"/>
      <c r="R1370" s="1089"/>
      <c r="S1370" s="1089"/>
      <c r="T1370" s="1089"/>
      <c r="U1370" s="1089"/>
      <c r="V1370" s="52"/>
    </row>
    <row r="1371" spans="1:22" s="141" customFormat="1" ht="45.75" customHeight="1">
      <c r="A1371" s="82"/>
      <c r="C1371" s="1091" t="str">
        <f>"Nilai Utang Jangka Pendek Lainnya per "&amp;'2.ISIAN DATA SKPD'!D8&amp;" dan "&amp;'2.ISIAN DATA SKPD'!D12&amp;"  adalah masing-masing sebesar Rp. 0 dan Rp. 0 mengalami kenaikan/penurunan sebesar Rp. 0 atau sebesar 0 % dari tahun "&amp;'2.ISIAN DATA SKPD'!D12&amp;"."</f>
        <v>Nilai Utang Jangka Pendek Lainnya per 31 Desember 2017 dan 2016  adalah masing-masing sebesar Rp. 0 dan Rp. 0 mengalami kenaikan/penurunan sebesar Rp. 0 atau sebesar 0 % dari tahun 2016.</v>
      </c>
      <c r="D1371" s="1091"/>
      <c r="E1371" s="1091"/>
      <c r="F1371" s="1091"/>
      <c r="G1371" s="1091"/>
      <c r="H1371" s="1091"/>
      <c r="I1371" s="1091"/>
      <c r="J1371" s="1091"/>
      <c r="K1371" s="1091"/>
      <c r="L1371" s="1091"/>
      <c r="M1371" s="1091"/>
      <c r="N1371" s="1091"/>
      <c r="O1371" s="1091"/>
      <c r="P1371" s="1091"/>
      <c r="Q1371" s="1091"/>
      <c r="R1371" s="1091"/>
      <c r="S1371" s="1091"/>
      <c r="T1371" s="1091"/>
      <c r="U1371" s="1091"/>
      <c r="V1371" s="52"/>
    </row>
    <row r="1372" spans="1:22" s="141" customFormat="1" ht="6.75" customHeight="1">
      <c r="A1372" s="82"/>
      <c r="C1372" s="783"/>
      <c r="D1372" s="783"/>
      <c r="E1372" s="783"/>
      <c r="F1372" s="783"/>
      <c r="G1372" s="783"/>
      <c r="H1372" s="783"/>
      <c r="I1372" s="783"/>
      <c r="J1372" s="783"/>
      <c r="K1372" s="783"/>
      <c r="L1372" s="783"/>
      <c r="M1372" s="783"/>
      <c r="N1372" s="783"/>
      <c r="O1372" s="783"/>
      <c r="P1372" s="783"/>
      <c r="Q1372" s="783"/>
      <c r="R1372" s="783"/>
      <c r="S1372" s="783"/>
      <c r="T1372" s="783"/>
      <c r="U1372" s="783"/>
      <c r="V1372" s="52"/>
    </row>
    <row r="1373" spans="1:22" s="141" customFormat="1" ht="22.5" customHeight="1">
      <c r="A1373" s="1156" t="s">
        <v>9</v>
      </c>
      <c r="B1373" s="1164" t="s">
        <v>762</v>
      </c>
      <c r="C1373" s="1165"/>
      <c r="D1373" s="1165"/>
      <c r="E1373" s="1166"/>
      <c r="F1373" s="1151" t="s">
        <v>190</v>
      </c>
      <c r="G1373" s="1151"/>
      <c r="H1373" s="1151"/>
      <c r="I1373" s="1151"/>
      <c r="J1373" s="1151"/>
      <c r="K1373" s="1151"/>
      <c r="L1373" s="1151" t="s">
        <v>761</v>
      </c>
      <c r="M1373" s="1151"/>
      <c r="N1373" s="1151"/>
      <c r="O1373" s="1151"/>
      <c r="P1373" s="1151"/>
      <c r="Q1373" s="1151"/>
      <c r="R1373" s="1077" t="s">
        <v>763</v>
      </c>
      <c r="S1373" s="1077"/>
      <c r="T1373" s="1077"/>
      <c r="U1373" s="1077"/>
      <c r="V1373" s="52"/>
    </row>
    <row r="1374" spans="1:32" s="141" customFormat="1" ht="22.5" customHeight="1">
      <c r="A1374" s="1157"/>
      <c r="B1374" s="1610">
        <f>B1211</f>
        <v>2016</v>
      </c>
      <c r="C1374" s="1611"/>
      <c r="D1374" s="1611"/>
      <c r="E1374" s="1612"/>
      <c r="F1374" s="1077" t="s">
        <v>419</v>
      </c>
      <c r="G1374" s="1077"/>
      <c r="H1374" s="1077"/>
      <c r="I1374" s="1077" t="s">
        <v>420</v>
      </c>
      <c r="J1374" s="1077"/>
      <c r="K1374" s="1077"/>
      <c r="L1374" s="1077" t="s">
        <v>419</v>
      </c>
      <c r="M1374" s="1077"/>
      <c r="N1374" s="1077"/>
      <c r="O1374" s="1150" t="s">
        <v>420</v>
      </c>
      <c r="P1374" s="1150"/>
      <c r="Q1374" s="1150"/>
      <c r="R1374" s="1610">
        <f>R1211</f>
        <v>2017</v>
      </c>
      <c r="S1374" s="1611"/>
      <c r="T1374" s="1611"/>
      <c r="U1374" s="1612"/>
      <c r="V1374" s="1074"/>
      <c r="W1374" s="1073"/>
      <c r="X1374" s="1073"/>
      <c r="Y1374" s="1045" t="s">
        <v>1677</v>
      </c>
      <c r="Z1374" s="1073"/>
      <c r="AA1374" s="1073"/>
      <c r="AB1374" s="1073"/>
      <c r="AC1374" s="1085" t="s">
        <v>1676</v>
      </c>
      <c r="AD1374" s="1086"/>
      <c r="AE1374" s="1086"/>
      <c r="AF1374" s="1086"/>
    </row>
    <row r="1375" spans="1:32" s="141" customFormat="1" ht="39" customHeight="1">
      <c r="A1375" s="790" t="str">
        <f>'4.NERACA'!C192</f>
        <v>Utang Kelebihan Pembayaran PAD</v>
      </c>
      <c r="B1375" s="1158">
        <f>'4.NERACA'!D192</f>
        <v>0</v>
      </c>
      <c r="C1375" s="1159"/>
      <c r="D1375" s="1159"/>
      <c r="E1375" s="1160"/>
      <c r="F1375" s="1597">
        <f>'4.NERACA'!E192</f>
        <v>0</v>
      </c>
      <c r="G1375" s="1597"/>
      <c r="H1375" s="1597"/>
      <c r="I1375" s="1597">
        <f>'4.NERACA'!F192</f>
        <v>0</v>
      </c>
      <c r="J1375" s="1597"/>
      <c r="K1375" s="1597"/>
      <c r="L1375" s="1597">
        <f>'4.NERACA'!G192</f>
        <v>0</v>
      </c>
      <c r="M1375" s="1597"/>
      <c r="N1375" s="1597"/>
      <c r="O1375" s="1597">
        <f>'4.NERACA'!H192</f>
        <v>0</v>
      </c>
      <c r="P1375" s="1597"/>
      <c r="Q1375" s="1597"/>
      <c r="R1375" s="1597">
        <f>B1375-F1375+I1375-L1375+O1375</f>
        <v>0</v>
      </c>
      <c r="S1375" s="1597"/>
      <c r="T1375" s="1597"/>
      <c r="U1375" s="1597"/>
      <c r="V1375" s="1072"/>
      <c r="W1375" s="1073"/>
      <c r="X1375" s="1073"/>
      <c r="Y1375" s="1045" t="e">
        <f aca="true" t="shared" si="40" ref="Y1375:Y1380">(R1375-B1375)/B1375*100</f>
        <v>#DIV/0!</v>
      </c>
      <c r="Z1375" s="1073"/>
      <c r="AA1375" s="1073"/>
      <c r="AB1375" s="1073"/>
      <c r="AC1375" s="1045">
        <f aca="true" t="shared" si="41" ref="AC1375:AC1380">R1375-B1375</f>
        <v>0</v>
      </c>
      <c r="AD1375" s="1046"/>
      <c r="AE1375" s="1046"/>
      <c r="AF1375" s="1046"/>
    </row>
    <row r="1376" spans="1:32" s="141" customFormat="1" ht="54" customHeight="1">
      <c r="A1376" s="790" t="str">
        <f>'4.NERACA'!C193</f>
        <v>Utang Kelebihan Pembayaran Transfer</v>
      </c>
      <c r="B1376" s="1158">
        <f>'4.NERACA'!D193</f>
        <v>0</v>
      </c>
      <c r="C1376" s="1159"/>
      <c r="D1376" s="1159"/>
      <c r="E1376" s="1160"/>
      <c r="F1376" s="1597">
        <f>'4.NERACA'!E193</f>
        <v>0</v>
      </c>
      <c r="G1376" s="1597"/>
      <c r="H1376" s="1597"/>
      <c r="I1376" s="1597">
        <f>'4.NERACA'!F193</f>
        <v>0</v>
      </c>
      <c r="J1376" s="1597"/>
      <c r="K1376" s="1597"/>
      <c r="L1376" s="1597">
        <f>'4.NERACA'!G193</f>
        <v>0</v>
      </c>
      <c r="M1376" s="1597"/>
      <c r="N1376" s="1597"/>
      <c r="O1376" s="1597">
        <f>'4.NERACA'!H193</f>
        <v>0</v>
      </c>
      <c r="P1376" s="1597"/>
      <c r="Q1376" s="1597"/>
      <c r="R1376" s="1597">
        <f>B1376-F1376+I1376-L1376+O1376</f>
        <v>0</v>
      </c>
      <c r="S1376" s="1597"/>
      <c r="T1376" s="1597"/>
      <c r="U1376" s="1597"/>
      <c r="V1376" s="1072"/>
      <c r="W1376" s="1073"/>
      <c r="X1376" s="1073"/>
      <c r="Y1376" s="1045" t="e">
        <f t="shared" si="40"/>
        <v>#DIV/0!</v>
      </c>
      <c r="Z1376" s="1073"/>
      <c r="AA1376" s="1073"/>
      <c r="AB1376" s="1073"/>
      <c r="AC1376" s="1045">
        <f t="shared" si="41"/>
        <v>0</v>
      </c>
      <c r="AD1376" s="1046"/>
      <c r="AE1376" s="1046"/>
      <c r="AF1376" s="1046"/>
    </row>
    <row r="1377" spans="1:32" s="141" customFormat="1" ht="54" customHeight="1">
      <c r="A1377" s="790" t="str">
        <f>'4.NERACA'!C194</f>
        <v>Utang Kelebihan Pembayaran Lain-Lain Pendapatan yang Sah</v>
      </c>
      <c r="B1377" s="1158">
        <f>'4.NERACA'!D194</f>
        <v>0</v>
      </c>
      <c r="C1377" s="1159"/>
      <c r="D1377" s="1159"/>
      <c r="E1377" s="1160"/>
      <c r="F1377" s="1597">
        <f>'4.NERACA'!E194</f>
        <v>0</v>
      </c>
      <c r="G1377" s="1597"/>
      <c r="H1377" s="1597"/>
      <c r="I1377" s="1597">
        <f>'4.NERACA'!F194</f>
        <v>0</v>
      </c>
      <c r="J1377" s="1597"/>
      <c r="K1377" s="1597"/>
      <c r="L1377" s="1597">
        <f>'4.NERACA'!G194</f>
        <v>0</v>
      </c>
      <c r="M1377" s="1597"/>
      <c r="N1377" s="1597"/>
      <c r="O1377" s="1597">
        <f>'4.NERACA'!H194</f>
        <v>0</v>
      </c>
      <c r="P1377" s="1597"/>
      <c r="Q1377" s="1597"/>
      <c r="R1377" s="1597">
        <f>B1377-F1377+I1377-L1377+O1377</f>
        <v>0</v>
      </c>
      <c r="S1377" s="1597"/>
      <c r="T1377" s="1597"/>
      <c r="U1377" s="1597"/>
      <c r="V1377" s="1072"/>
      <c r="W1377" s="1073"/>
      <c r="X1377" s="1073"/>
      <c r="Y1377" s="1045" t="e">
        <f t="shared" si="40"/>
        <v>#DIV/0!</v>
      </c>
      <c r="Z1377" s="1073"/>
      <c r="AA1377" s="1073"/>
      <c r="AB1377" s="1073"/>
      <c r="AC1377" s="1045">
        <f t="shared" si="41"/>
        <v>0</v>
      </c>
      <c r="AD1377" s="1046"/>
      <c r="AE1377" s="1046"/>
      <c r="AF1377" s="1046"/>
    </row>
    <row r="1378" spans="1:32" s="141" customFormat="1" ht="22.5" customHeight="1">
      <c r="A1378" s="790" t="str">
        <f>'4.NERACA'!C195</f>
        <v>Utang Transfer</v>
      </c>
      <c r="B1378" s="1158">
        <f>'4.NERACA'!D195</f>
        <v>0</v>
      </c>
      <c r="C1378" s="1159"/>
      <c r="D1378" s="1159"/>
      <c r="E1378" s="1160"/>
      <c r="F1378" s="1597">
        <f>'4.NERACA'!E195</f>
        <v>0</v>
      </c>
      <c r="G1378" s="1597"/>
      <c r="H1378" s="1597"/>
      <c r="I1378" s="1597">
        <f>'4.NERACA'!F195</f>
        <v>0</v>
      </c>
      <c r="J1378" s="1597"/>
      <c r="K1378" s="1597"/>
      <c r="L1378" s="1597">
        <f>'4.NERACA'!G195</f>
        <v>0</v>
      </c>
      <c r="M1378" s="1597"/>
      <c r="N1378" s="1597"/>
      <c r="O1378" s="1597">
        <f>'4.NERACA'!H195</f>
        <v>0</v>
      </c>
      <c r="P1378" s="1597"/>
      <c r="Q1378" s="1597"/>
      <c r="R1378" s="1597">
        <f>B1378-F1378+I1378-L1378+O1378</f>
        <v>0</v>
      </c>
      <c r="S1378" s="1597"/>
      <c r="T1378" s="1597"/>
      <c r="U1378" s="1597"/>
      <c r="V1378" s="1072"/>
      <c r="W1378" s="1073"/>
      <c r="X1378" s="1073"/>
      <c r="Y1378" s="1045" t="e">
        <f t="shared" si="40"/>
        <v>#DIV/0!</v>
      </c>
      <c r="Z1378" s="1073"/>
      <c r="AA1378" s="1073"/>
      <c r="AB1378" s="1073"/>
      <c r="AC1378" s="1045">
        <f t="shared" si="41"/>
        <v>0</v>
      </c>
      <c r="AD1378" s="1046"/>
      <c r="AE1378" s="1046"/>
      <c r="AF1378" s="1046"/>
    </row>
    <row r="1379" spans="1:32" s="141" customFormat="1" ht="27.75" customHeight="1">
      <c r="A1379" s="790" t="str">
        <f>'4.NERACA'!C196</f>
        <v>Utang Jangka Pendek Lainnya</v>
      </c>
      <c r="B1379" s="1158">
        <f>'4.NERACA'!D196</f>
        <v>0</v>
      </c>
      <c r="C1379" s="1159"/>
      <c r="D1379" s="1159"/>
      <c r="E1379" s="1160"/>
      <c r="F1379" s="1597">
        <f>'4.NERACA'!E196</f>
        <v>0</v>
      </c>
      <c r="G1379" s="1597"/>
      <c r="H1379" s="1597"/>
      <c r="I1379" s="1597">
        <f>'4.NERACA'!F196</f>
        <v>0</v>
      </c>
      <c r="J1379" s="1597"/>
      <c r="K1379" s="1597"/>
      <c r="L1379" s="1597">
        <f>'4.NERACA'!G196</f>
        <v>0</v>
      </c>
      <c r="M1379" s="1597"/>
      <c r="N1379" s="1597"/>
      <c r="O1379" s="1597">
        <f>'4.NERACA'!H196</f>
        <v>0</v>
      </c>
      <c r="P1379" s="1597"/>
      <c r="Q1379" s="1597"/>
      <c r="R1379" s="1597">
        <f>B1379-F1379+I1379-L1379+O1379</f>
        <v>0</v>
      </c>
      <c r="S1379" s="1597"/>
      <c r="T1379" s="1597"/>
      <c r="U1379" s="1597"/>
      <c r="V1379" s="1072"/>
      <c r="W1379" s="1073"/>
      <c r="X1379" s="1073"/>
      <c r="Y1379" s="1045" t="e">
        <f t="shared" si="40"/>
        <v>#DIV/0!</v>
      </c>
      <c r="Z1379" s="1073"/>
      <c r="AA1379" s="1073"/>
      <c r="AB1379" s="1073"/>
      <c r="AC1379" s="1045">
        <f t="shared" si="41"/>
        <v>0</v>
      </c>
      <c r="AD1379" s="1046"/>
      <c r="AE1379" s="1046"/>
      <c r="AF1379" s="1046"/>
    </row>
    <row r="1380" spans="1:32" s="141" customFormat="1" ht="22.5" customHeight="1">
      <c r="A1380" s="793" t="s">
        <v>10</v>
      </c>
      <c r="B1380" s="1460">
        <f>SUM(B1375:E1379)</f>
        <v>0</v>
      </c>
      <c r="C1380" s="1461"/>
      <c r="D1380" s="1461"/>
      <c r="E1380" s="1462"/>
      <c r="F1380" s="1663">
        <f>SUM(F1375:H1379)</f>
        <v>0</v>
      </c>
      <c r="G1380" s="1663"/>
      <c r="H1380" s="1663"/>
      <c r="I1380" s="1663">
        <f>SUM(I1375:K1379)</f>
        <v>0</v>
      </c>
      <c r="J1380" s="1663"/>
      <c r="K1380" s="1663"/>
      <c r="L1380" s="1663">
        <f>SUM(L1375:N1379)</f>
        <v>0</v>
      </c>
      <c r="M1380" s="1663"/>
      <c r="N1380" s="1663"/>
      <c r="O1380" s="1663">
        <f>SUM(O1375:Q1379)</f>
        <v>0</v>
      </c>
      <c r="P1380" s="1663"/>
      <c r="Q1380" s="1663"/>
      <c r="R1380" s="1663">
        <f>SUM(R1375:U1379)</f>
        <v>0</v>
      </c>
      <c r="S1380" s="1663"/>
      <c r="T1380" s="1663"/>
      <c r="U1380" s="1663"/>
      <c r="V1380" s="1072"/>
      <c r="W1380" s="1073"/>
      <c r="X1380" s="1073"/>
      <c r="Y1380" s="1045" t="e">
        <f t="shared" si="40"/>
        <v>#DIV/0!</v>
      </c>
      <c r="Z1380" s="1073"/>
      <c r="AA1380" s="1073"/>
      <c r="AB1380" s="1073"/>
      <c r="AC1380" s="1045">
        <f t="shared" si="41"/>
        <v>0</v>
      </c>
      <c r="AD1380" s="1046"/>
      <c r="AE1380" s="1046"/>
      <c r="AF1380" s="1046"/>
    </row>
    <row r="1381" spans="1:22" s="141" customFormat="1" ht="6.75" customHeight="1">
      <c r="A1381" s="82"/>
      <c r="B1381" s="37"/>
      <c r="C1381" s="37"/>
      <c r="D1381" s="37"/>
      <c r="E1381" s="37"/>
      <c r="F1381" s="37"/>
      <c r="G1381" s="37"/>
      <c r="H1381" s="37"/>
      <c r="I1381" s="37"/>
      <c r="J1381" s="37"/>
      <c r="K1381" s="37"/>
      <c r="L1381" s="37"/>
      <c r="M1381" s="37"/>
      <c r="N1381" s="37"/>
      <c r="O1381" s="37"/>
      <c r="P1381" s="37"/>
      <c r="Q1381" s="37"/>
      <c r="R1381" s="37"/>
      <c r="S1381" s="37"/>
      <c r="T1381" s="654"/>
      <c r="U1381" s="654"/>
      <c r="V1381" s="52"/>
    </row>
    <row r="1382" spans="1:21" s="141" customFormat="1" ht="17.25" customHeight="1">
      <c r="A1382" s="82"/>
      <c r="B1382" s="739" t="s">
        <v>1587</v>
      </c>
      <c r="C1382" s="654"/>
      <c r="D1382" s="654"/>
      <c r="E1382" s="654"/>
      <c r="F1382" s="654"/>
      <c r="G1382" s="654"/>
      <c r="H1382" s="654"/>
      <c r="I1382" s="654"/>
      <c r="J1382" s="654"/>
      <c r="K1382" s="654"/>
      <c r="L1382" s="654"/>
      <c r="M1382" s="654"/>
      <c r="N1382" s="654"/>
      <c r="O1382" s="654"/>
      <c r="P1382" s="654"/>
      <c r="Q1382" s="654"/>
      <c r="R1382" s="654"/>
      <c r="S1382" s="654"/>
      <c r="T1382" s="794"/>
      <c r="U1382" s="794"/>
    </row>
    <row r="1383" spans="1:22" s="141" customFormat="1" ht="15">
      <c r="A1383" s="82"/>
      <c r="B1383" s="654"/>
      <c r="C1383" s="654"/>
      <c r="D1383" s="654"/>
      <c r="E1383" s="654"/>
      <c r="F1383" s="654"/>
      <c r="G1383" s="654"/>
      <c r="H1383" s="654"/>
      <c r="I1383" s="654"/>
      <c r="J1383" s="654"/>
      <c r="K1383" s="654"/>
      <c r="L1383" s="654"/>
      <c r="M1383" s="654"/>
      <c r="N1383" s="654"/>
      <c r="O1383" s="654"/>
      <c r="P1383" s="654"/>
      <c r="Q1383" s="654"/>
      <c r="R1383" s="654"/>
      <c r="S1383" s="654"/>
      <c r="T1383" s="654"/>
      <c r="U1383" s="654"/>
      <c r="V1383" s="52"/>
    </row>
    <row r="1384" spans="1:22" s="141" customFormat="1" ht="15" customHeight="1">
      <c r="A1384" s="114"/>
      <c r="B1384" s="739" t="s">
        <v>1680</v>
      </c>
      <c r="C1384" s="1089" t="s">
        <v>4</v>
      </c>
      <c r="D1384" s="1089"/>
      <c r="E1384" s="1089"/>
      <c r="F1384" s="1089"/>
      <c r="G1384" s="1089"/>
      <c r="H1384" s="1089"/>
      <c r="I1384" s="1089"/>
      <c r="J1384" s="1089"/>
      <c r="K1384" s="1089"/>
      <c r="L1384" s="1089"/>
      <c r="M1384" s="1089"/>
      <c r="N1384" s="1089"/>
      <c r="O1384" s="1089"/>
      <c r="P1384" s="1089"/>
      <c r="Q1384" s="1089"/>
      <c r="R1384" s="1089"/>
      <c r="S1384" s="1089"/>
      <c r="T1384" s="1089"/>
      <c r="U1384" s="1089"/>
      <c r="V1384" s="52"/>
    </row>
    <row r="1385" spans="1:22" s="141" customFormat="1" ht="45.75" customHeight="1">
      <c r="A1385" s="114"/>
      <c r="C1385" s="1091" t="str">
        <f>"Ekuitas per "&amp;'2.ISIAN DATA SKPD'!D8&amp;" dan "&amp;'2.ISIAN DATA SKPD'!D12&amp;" adalah masing-masing sebesar Rp. "&amp;FIXED('4.NERACA'!I207)&amp;" dan Rp. 0 mengalami kenaikan/penurunan sebesar Rp. 0 atau sebesar 0 % dari tahun "&amp;'2.ISIAN DATA SKPD'!D12&amp;"."</f>
        <v>Ekuitas per 31 Desember 2017 dan 2016 adalah masing-masing sebesar Rp. 6,369,503,512.00 dan Rp. 0 mengalami kenaikan/penurunan sebesar Rp. 0 atau sebesar 0 % dari tahun 2016.</v>
      </c>
      <c r="D1385" s="1091"/>
      <c r="E1385" s="1091"/>
      <c r="F1385" s="1091"/>
      <c r="G1385" s="1091"/>
      <c r="H1385" s="1091"/>
      <c r="I1385" s="1091"/>
      <c r="J1385" s="1091"/>
      <c r="K1385" s="1091"/>
      <c r="L1385" s="1091"/>
      <c r="M1385" s="1091"/>
      <c r="N1385" s="1091"/>
      <c r="O1385" s="1091"/>
      <c r="P1385" s="1091"/>
      <c r="Q1385" s="1091"/>
      <c r="R1385" s="1091"/>
      <c r="S1385" s="1091"/>
      <c r="T1385" s="1091"/>
      <c r="U1385" s="1091"/>
      <c r="V1385" s="52"/>
    </row>
    <row r="1386" spans="1:22" s="141" customFormat="1" ht="45" customHeight="1">
      <c r="A1386" s="114"/>
      <c r="C1386" s="1091" t="s">
        <v>143</v>
      </c>
      <c r="D1386" s="1091"/>
      <c r="E1386" s="1091"/>
      <c r="F1386" s="1091"/>
      <c r="G1386" s="1091"/>
      <c r="H1386" s="1091"/>
      <c r="I1386" s="1091"/>
      <c r="J1386" s="1091"/>
      <c r="K1386" s="1091"/>
      <c r="L1386" s="1091"/>
      <c r="M1386" s="1091"/>
      <c r="N1386" s="1091"/>
      <c r="O1386" s="1091"/>
      <c r="P1386" s="1091"/>
      <c r="Q1386" s="1091"/>
      <c r="R1386" s="1091"/>
      <c r="S1386" s="1091"/>
      <c r="T1386" s="1091"/>
      <c r="U1386" s="1091"/>
      <c r="V1386" s="52"/>
    </row>
    <row r="1387" spans="1:22" s="141" customFormat="1" ht="9" customHeight="1">
      <c r="A1387" s="114"/>
      <c r="C1387" s="702"/>
      <c r="D1387" s="702"/>
      <c r="E1387" s="702"/>
      <c r="F1387" s="702"/>
      <c r="G1387" s="702"/>
      <c r="H1387" s="702"/>
      <c r="I1387" s="702"/>
      <c r="J1387" s="702"/>
      <c r="K1387" s="702"/>
      <c r="L1387" s="702"/>
      <c r="M1387" s="702"/>
      <c r="N1387" s="702"/>
      <c r="O1387" s="702"/>
      <c r="P1387" s="702"/>
      <c r="Q1387" s="702"/>
      <c r="R1387" s="702"/>
      <c r="S1387" s="702"/>
      <c r="T1387" s="702"/>
      <c r="U1387" s="702"/>
      <c r="V1387" s="52"/>
    </row>
    <row r="1388" spans="1:22" s="141" customFormat="1" ht="15" customHeight="1">
      <c r="A1388" s="114"/>
      <c r="B1388" s="643" t="s">
        <v>1538</v>
      </c>
      <c r="C1388" s="1637" t="s">
        <v>50</v>
      </c>
      <c r="D1388" s="1637"/>
      <c r="E1388" s="1637"/>
      <c r="F1388" s="1637"/>
      <c r="G1388" s="1637"/>
      <c r="H1388" s="1637"/>
      <c r="I1388" s="1637"/>
      <c r="J1388" s="1637"/>
      <c r="K1388" s="1637"/>
      <c r="L1388" s="1637"/>
      <c r="M1388" s="1637"/>
      <c r="N1388" s="1637"/>
      <c r="O1388" s="1637"/>
      <c r="P1388" s="1637"/>
      <c r="Q1388" s="1637"/>
      <c r="R1388" s="1637"/>
      <c r="S1388" s="1637"/>
      <c r="T1388" s="1637"/>
      <c r="U1388" s="1637"/>
      <c r="V1388" s="52"/>
    </row>
    <row r="1389" spans="1:22" s="141" customFormat="1" ht="117.75" customHeight="1">
      <c r="A1389" s="82"/>
      <c r="C1389" s="1091" t="str">
        <f>"Laporan  Operasional  menyediakan  informasi  mengenai  seluruh kegiatan  operasional keuangan pada "&amp;'2.ISIAN DATA SKPD'!D2&amp;" yang tercermin dalam pendapatan LO, beban dan surplus/defisit operasional."</f>
        <v>Laporan  Operasional  menyediakan  informasi  mengenai  seluruh kegiatan  operasional keuangan pada Kecamatan Kaliwiro yang tercermin dalam pendapatan LO, beban dan surplus/defisit operasional.</v>
      </c>
      <c r="D1389" s="1091"/>
      <c r="E1389" s="1091"/>
      <c r="F1389" s="1091"/>
      <c r="G1389" s="1091"/>
      <c r="H1389" s="1091"/>
      <c r="I1389" s="1091"/>
      <c r="J1389" s="1091"/>
      <c r="K1389" s="1091"/>
      <c r="L1389" s="1091"/>
      <c r="M1389" s="1091"/>
      <c r="N1389" s="1091"/>
      <c r="O1389" s="1091"/>
      <c r="P1389" s="1091"/>
      <c r="Q1389" s="1091"/>
      <c r="R1389" s="1091"/>
      <c r="S1389" s="1091"/>
      <c r="T1389" s="1091"/>
      <c r="U1389" s="1091"/>
      <c r="V1389" s="52"/>
    </row>
    <row r="1390" spans="1:22" s="141" customFormat="1" ht="15" customHeight="1">
      <c r="A1390" s="82"/>
      <c r="B1390" s="715" t="s">
        <v>1429</v>
      </c>
      <c r="C1390" s="1089" t="s">
        <v>1424</v>
      </c>
      <c r="D1390" s="1089"/>
      <c r="E1390" s="1089"/>
      <c r="F1390" s="1089"/>
      <c r="G1390" s="1089"/>
      <c r="H1390" s="1089"/>
      <c r="I1390" s="1089"/>
      <c r="J1390" s="1089"/>
      <c r="K1390" s="1089"/>
      <c r="L1390" s="1089"/>
      <c r="M1390" s="1089"/>
      <c r="N1390" s="1089"/>
      <c r="O1390" s="1089"/>
      <c r="P1390" s="1089"/>
      <c r="Q1390" s="1089"/>
      <c r="R1390" s="1089"/>
      <c r="S1390" s="1089"/>
      <c r="T1390" s="1089"/>
      <c r="U1390" s="1089"/>
      <c r="V1390" s="52"/>
    </row>
    <row r="1391" spans="1:22" s="141" customFormat="1" ht="60" customHeight="1">
      <c r="A1391" s="82"/>
      <c r="B1391" s="53"/>
      <c r="C1391" s="1091" t="str">
        <f>"Pendapatan-LO adalah hak "&amp;'2.ISIAN DATA SKPD'!D2&amp;" yang diakui sebagai penambahan kekayaan bersih yang tidak perlu dibayar kembali periode Tahun Anggaran "&amp;'2.ISIAN DATA SKPD'!D11&amp;", dengan realisasi dalam TA "&amp;'2.ISIAN DATA SKPD'!D11&amp;" dan "&amp;'2.ISIAN DATA SKPD'!D12&amp;" sebagai berikut :"</f>
        <v>Pendapatan-LO adalah hak Kecamatan Kaliwiro yang diakui sebagai penambahan kekayaan bersih yang tidak perlu dibayar kembali periode Tahun Anggaran 2017, dengan realisasi dalam TA 2017 dan 2016 sebagai berikut :</v>
      </c>
      <c r="D1391" s="1091"/>
      <c r="E1391" s="1091"/>
      <c r="F1391" s="1091"/>
      <c r="G1391" s="1091"/>
      <c r="H1391" s="1091"/>
      <c r="I1391" s="1091"/>
      <c r="J1391" s="1091"/>
      <c r="K1391" s="1091"/>
      <c r="L1391" s="1091"/>
      <c r="M1391" s="1091"/>
      <c r="N1391" s="1091"/>
      <c r="O1391" s="1091"/>
      <c r="P1391" s="1091"/>
      <c r="Q1391" s="1091"/>
      <c r="R1391" s="1091"/>
      <c r="S1391" s="1091"/>
      <c r="T1391" s="1091"/>
      <c r="U1391" s="1091"/>
      <c r="V1391" s="52"/>
    </row>
    <row r="1392" spans="1:22" s="141" customFormat="1" ht="59.25" customHeight="1">
      <c r="A1392" s="82"/>
      <c r="B1392" s="38"/>
      <c r="C1392" s="1091" t="str">
        <f>"Realisasi Pendapatan-LO  Tahun Anggaran "&amp;'2.ISIAN DATA SKPD'!D11&amp;" dan Tahun "&amp;'2.ISIAN DATA SKPD'!D12&amp;", adalah masing-masing sebesar 0 dan 0. Bila dibandingkan dengan tahun "&amp;'2.ISIAN DATA SKPD'!D12&amp;" mengalami kenaikan /1630:1630 Penurunan sebesar Rp 0 atau 0 "</f>
        <v>Realisasi Pendapatan-LO  Tahun Anggaran 2017 dan Tahun 2016, adalah masing-masing sebesar 0 dan 0. Bila dibandingkan dengan tahun 2016 mengalami kenaikan /1630:1630 Penurunan sebesar Rp 0 atau 0 </v>
      </c>
      <c r="D1392" s="1091"/>
      <c r="E1392" s="1091"/>
      <c r="F1392" s="1091"/>
      <c r="G1392" s="1091"/>
      <c r="H1392" s="1091"/>
      <c r="I1392" s="1091"/>
      <c r="J1392" s="1091"/>
      <c r="K1392" s="1091"/>
      <c r="L1392" s="1091"/>
      <c r="M1392" s="1091"/>
      <c r="N1392" s="1091"/>
      <c r="O1392" s="1091"/>
      <c r="P1392" s="1091"/>
      <c r="Q1392" s="1091"/>
      <c r="R1392" s="1091"/>
      <c r="S1392" s="1091"/>
      <c r="T1392" s="1091"/>
      <c r="U1392" s="1091"/>
      <c r="V1392" s="52"/>
    </row>
    <row r="1393" spans="1:22" s="141" customFormat="1" ht="9.75" customHeight="1">
      <c r="A1393" s="82"/>
      <c r="B1393" s="38"/>
      <c r="C1393" s="38"/>
      <c r="D1393" s="38"/>
      <c r="E1393" s="38"/>
      <c r="F1393" s="38"/>
      <c r="G1393" s="38"/>
      <c r="H1393" s="38"/>
      <c r="I1393" s="38"/>
      <c r="J1393" s="38"/>
      <c r="K1393" s="38"/>
      <c r="L1393" s="38"/>
      <c r="M1393" s="38"/>
      <c r="N1393" s="38"/>
      <c r="O1393" s="38"/>
      <c r="P1393" s="38"/>
      <c r="Q1393" s="38"/>
      <c r="R1393" s="38"/>
      <c r="S1393" s="38"/>
      <c r="T1393" s="38"/>
      <c r="U1393" s="38"/>
      <c r="V1393" s="52"/>
    </row>
    <row r="1394" spans="1:22" s="141" customFormat="1" ht="15" hidden="1">
      <c r="A1394" s="838"/>
      <c r="B1394" s="38"/>
      <c r="C1394" s="38"/>
      <c r="D1394" s="38"/>
      <c r="E1394" s="38"/>
      <c r="F1394" s="38"/>
      <c r="G1394" s="38"/>
      <c r="H1394" s="38"/>
      <c r="I1394" s="38"/>
      <c r="J1394" s="38"/>
      <c r="K1394" s="38"/>
      <c r="L1394" s="38"/>
      <c r="M1394" s="38"/>
      <c r="N1394" s="38"/>
      <c r="O1394" s="38"/>
      <c r="P1394" s="38"/>
      <c r="Q1394" s="38"/>
      <c r="R1394" s="38"/>
      <c r="S1394" s="38"/>
      <c r="T1394" s="38"/>
      <c r="U1394" s="38"/>
      <c r="V1394" s="52"/>
    </row>
    <row r="1395" spans="1:22" s="141" customFormat="1" ht="15" hidden="1">
      <c r="A1395" s="838"/>
      <c r="B1395" s="38"/>
      <c r="C1395" s="38"/>
      <c r="D1395" s="38"/>
      <c r="E1395" s="38"/>
      <c r="F1395" s="38"/>
      <c r="G1395" s="38"/>
      <c r="H1395" s="38"/>
      <c r="I1395" s="38"/>
      <c r="J1395" s="38"/>
      <c r="K1395" s="38"/>
      <c r="L1395" s="38"/>
      <c r="M1395" s="38"/>
      <c r="N1395" s="38"/>
      <c r="O1395" s="38"/>
      <c r="P1395" s="38"/>
      <c r="Q1395" s="38"/>
      <c r="R1395" s="38"/>
      <c r="S1395" s="38"/>
      <c r="T1395" s="38"/>
      <c r="U1395" s="38"/>
      <c r="V1395" s="52"/>
    </row>
    <row r="1396" spans="1:22" s="141" customFormat="1" ht="15" hidden="1">
      <c r="A1396" s="838"/>
      <c r="B1396" s="38"/>
      <c r="C1396" s="38"/>
      <c r="D1396" s="38"/>
      <c r="E1396" s="38"/>
      <c r="F1396" s="38"/>
      <c r="G1396" s="38"/>
      <c r="H1396" s="38"/>
      <c r="I1396" s="38"/>
      <c r="J1396" s="38"/>
      <c r="K1396" s="38"/>
      <c r="L1396" s="38"/>
      <c r="M1396" s="38"/>
      <c r="N1396" s="38"/>
      <c r="O1396" s="38"/>
      <c r="P1396" s="38"/>
      <c r="Q1396" s="38"/>
      <c r="R1396" s="38"/>
      <c r="S1396" s="38"/>
      <c r="T1396" s="38"/>
      <c r="U1396" s="38"/>
      <c r="V1396" s="52"/>
    </row>
    <row r="1397" spans="1:22" s="141" customFormat="1" ht="14.25" customHeight="1">
      <c r="A1397" s="666"/>
      <c r="C1397" s="1509" t="str">
        <f>"Rincian Pendapatan Tahun "&amp;'2.ISIAN DATA SKPD'!D11&amp;" dan "&amp;'2.ISIAN DATA SKPD'!D12&amp;""</f>
        <v>Rincian Pendapatan Tahun 2017 dan 2016</v>
      </c>
      <c r="D1397" s="1509"/>
      <c r="E1397" s="1509"/>
      <c r="F1397" s="1509"/>
      <c r="G1397" s="1509"/>
      <c r="H1397" s="1509"/>
      <c r="I1397" s="1509"/>
      <c r="J1397" s="1509"/>
      <c r="K1397" s="1509"/>
      <c r="L1397" s="1509"/>
      <c r="M1397" s="1509"/>
      <c r="N1397" s="1509"/>
      <c r="O1397" s="1509"/>
      <c r="P1397" s="1509"/>
      <c r="Q1397" s="1509"/>
      <c r="R1397" s="1509"/>
      <c r="S1397" s="1509"/>
      <c r="T1397" s="1509"/>
      <c r="U1397" s="1509"/>
      <c r="V1397" s="52"/>
    </row>
    <row r="1398" spans="1:22" s="141" customFormat="1" ht="24.75" customHeight="1">
      <c r="A1398" s="1126" t="s">
        <v>9</v>
      </c>
      <c r="B1398" s="1127"/>
      <c r="C1398" s="1127"/>
      <c r="D1398" s="1127"/>
      <c r="E1398" s="1127"/>
      <c r="F1398" s="1128"/>
      <c r="G1398" s="1324" t="str">
        <f>"TA "&amp;'2.ISIAN DATA SKPD'!D11&amp;""</f>
        <v>TA 2017</v>
      </c>
      <c r="H1398" s="1324"/>
      <c r="I1398" s="1324"/>
      <c r="J1398" s="1324"/>
      <c r="K1398" s="1324"/>
      <c r="L1398" s="1324"/>
      <c r="M1398" s="1324" t="str">
        <f>"TA "&amp;'2.ISIAN DATA SKPD'!D12&amp;""</f>
        <v>TA 2016</v>
      </c>
      <c r="N1398" s="1324"/>
      <c r="O1398" s="1324"/>
      <c r="P1398" s="1324"/>
      <c r="Q1398" s="1324"/>
      <c r="R1398" s="1324"/>
      <c r="S1398" s="1324" t="s">
        <v>1248</v>
      </c>
      <c r="T1398" s="1324"/>
      <c r="U1398" s="1324"/>
      <c r="V1398" s="52"/>
    </row>
    <row r="1399" spans="1:22" s="141" customFormat="1" ht="28.5" customHeight="1">
      <c r="A1399" s="1093" t="s">
        <v>1593</v>
      </c>
      <c r="B1399" s="1094"/>
      <c r="C1399" s="1094"/>
      <c r="D1399" s="1094"/>
      <c r="E1399" s="1094"/>
      <c r="F1399" s="1095"/>
      <c r="G1399" s="1417">
        <f>'5.LO'!E7</f>
        <v>0</v>
      </c>
      <c r="H1399" s="1418"/>
      <c r="I1399" s="1418"/>
      <c r="J1399" s="1418"/>
      <c r="K1399" s="1418"/>
      <c r="L1399" s="1418"/>
      <c r="M1399" s="1417">
        <f>'5.LO'!F7</f>
        <v>0</v>
      </c>
      <c r="N1399" s="1418"/>
      <c r="O1399" s="1418"/>
      <c r="P1399" s="1418"/>
      <c r="Q1399" s="1418"/>
      <c r="R1399" s="1418"/>
      <c r="S1399" s="1764">
        <v>0</v>
      </c>
      <c r="T1399" s="1765"/>
      <c r="U1399" s="1765"/>
      <c r="V1399" s="52"/>
    </row>
    <row r="1400" spans="1:22" s="141" customFormat="1" ht="21" customHeight="1">
      <c r="A1400" s="1093" t="s">
        <v>1594</v>
      </c>
      <c r="B1400" s="1094"/>
      <c r="C1400" s="1094"/>
      <c r="D1400" s="1094"/>
      <c r="E1400" s="1094"/>
      <c r="F1400" s="1095"/>
      <c r="G1400" s="1417">
        <f>'5.LO'!E85</f>
        <v>0</v>
      </c>
      <c r="H1400" s="1418"/>
      <c r="I1400" s="1418"/>
      <c r="J1400" s="1418"/>
      <c r="K1400" s="1418"/>
      <c r="L1400" s="1418"/>
      <c r="M1400" s="1417">
        <f>'5.LO'!F85</f>
        <v>0</v>
      </c>
      <c r="N1400" s="1418"/>
      <c r="O1400" s="1418"/>
      <c r="P1400" s="1418"/>
      <c r="Q1400" s="1418"/>
      <c r="R1400" s="1418"/>
      <c r="S1400" s="1764">
        <v>0</v>
      </c>
      <c r="T1400" s="1765"/>
      <c r="U1400" s="1765"/>
      <c r="V1400" s="52"/>
    </row>
    <row r="1401" spans="1:22" s="141" customFormat="1" ht="30.75" customHeight="1">
      <c r="A1401" s="1093" t="s">
        <v>1595</v>
      </c>
      <c r="B1401" s="1094"/>
      <c r="C1401" s="1094"/>
      <c r="D1401" s="1094"/>
      <c r="E1401" s="1094"/>
      <c r="F1401" s="1095"/>
      <c r="G1401" s="1417">
        <f>'5.LO'!E134</f>
        <v>0</v>
      </c>
      <c r="H1401" s="1418"/>
      <c r="I1401" s="1418"/>
      <c r="J1401" s="1418"/>
      <c r="K1401" s="1418"/>
      <c r="L1401" s="1418"/>
      <c r="M1401" s="1417">
        <f>'5.LO'!F134</f>
        <v>0</v>
      </c>
      <c r="N1401" s="1418"/>
      <c r="O1401" s="1418"/>
      <c r="P1401" s="1418"/>
      <c r="Q1401" s="1418"/>
      <c r="R1401" s="1418"/>
      <c r="S1401" s="1764">
        <v>0</v>
      </c>
      <c r="T1401" s="1765"/>
      <c r="U1401" s="1765"/>
      <c r="V1401" s="52"/>
    </row>
    <row r="1402" spans="1:22" s="141" customFormat="1" ht="22.5" customHeight="1">
      <c r="A1402" s="1093" t="s">
        <v>10</v>
      </c>
      <c r="B1402" s="1094"/>
      <c r="C1402" s="1094"/>
      <c r="D1402" s="1094"/>
      <c r="E1402" s="1094"/>
      <c r="F1402" s="1095"/>
      <c r="G1402" s="1417">
        <f>G1399</f>
        <v>0</v>
      </c>
      <c r="H1402" s="1418"/>
      <c r="I1402" s="1418"/>
      <c r="J1402" s="1418"/>
      <c r="K1402" s="1418"/>
      <c r="L1402" s="1418"/>
      <c r="M1402" s="1417">
        <f>M1399</f>
        <v>0</v>
      </c>
      <c r="N1402" s="1418"/>
      <c r="O1402" s="1418"/>
      <c r="P1402" s="1418"/>
      <c r="Q1402" s="1418"/>
      <c r="R1402" s="1418"/>
      <c r="S1402" s="1764">
        <v>0</v>
      </c>
      <c r="T1402" s="1765"/>
      <c r="U1402" s="1765"/>
      <c r="V1402" s="52"/>
    </row>
    <row r="1403" spans="1:22" s="141" customFormat="1" ht="6.75" customHeight="1">
      <c r="A1403" s="114"/>
      <c r="C1403" s="61"/>
      <c r="D1403" s="61"/>
      <c r="E1403" s="61"/>
      <c r="F1403" s="61"/>
      <c r="G1403" s="61"/>
      <c r="H1403" s="61"/>
      <c r="I1403" s="61"/>
      <c r="J1403" s="61"/>
      <c r="K1403" s="5"/>
      <c r="L1403" s="5"/>
      <c r="M1403" s="5"/>
      <c r="N1403" s="5"/>
      <c r="O1403" s="5"/>
      <c r="P1403" s="5"/>
      <c r="Q1403" s="5"/>
      <c r="R1403" s="13"/>
      <c r="S1403" s="13"/>
      <c r="T1403" s="683"/>
      <c r="U1403" s="683"/>
      <c r="V1403" s="52"/>
    </row>
    <row r="1404" spans="1:22" s="141" customFormat="1" ht="30.75" customHeight="1">
      <c r="A1404" s="82"/>
      <c r="B1404" s="37"/>
      <c r="C1404" s="1091" t="str">
        <f>"Realisasi masing-masing pendapatan – LO "&amp;'2.ISIAN DATA SKPD'!D2&amp;" Kabupaten Wonosobo dapat dijelaskan sebagai berikut : "</f>
        <v>Realisasi masing-masing pendapatan – LO Kecamatan Kaliwiro Kabupaten Wonosobo dapat dijelaskan sebagai berikut : </v>
      </c>
      <c r="D1404" s="1091"/>
      <c r="E1404" s="1091"/>
      <c r="F1404" s="1091"/>
      <c r="G1404" s="1091"/>
      <c r="H1404" s="1091"/>
      <c r="I1404" s="1091"/>
      <c r="J1404" s="1091"/>
      <c r="K1404" s="1091"/>
      <c r="L1404" s="1091"/>
      <c r="M1404" s="1091"/>
      <c r="N1404" s="1091"/>
      <c r="O1404" s="1091"/>
      <c r="P1404" s="1091"/>
      <c r="Q1404" s="1091"/>
      <c r="R1404" s="1091"/>
      <c r="S1404" s="1091"/>
      <c r="T1404" s="1091"/>
      <c r="U1404" s="1091"/>
      <c r="V1404" s="52"/>
    </row>
    <row r="1405" spans="1:22" s="141" customFormat="1" ht="21.75" customHeight="1">
      <c r="A1405" s="82"/>
      <c r="B1405" s="38"/>
      <c r="C1405" s="651" t="s">
        <v>15</v>
      </c>
      <c r="D1405" s="1684" t="s">
        <v>791</v>
      </c>
      <c r="E1405" s="1684"/>
      <c r="F1405" s="1684"/>
      <c r="G1405" s="1684"/>
      <c r="H1405" s="1684"/>
      <c r="I1405" s="1684"/>
      <c r="J1405" s="1684"/>
      <c r="K1405" s="1684"/>
      <c r="L1405" s="1684"/>
      <c r="M1405" s="1684"/>
      <c r="N1405" s="1684"/>
      <c r="O1405" s="1684"/>
      <c r="P1405" s="1684"/>
      <c r="Q1405" s="1684"/>
      <c r="R1405" s="1684"/>
      <c r="S1405" s="1684"/>
      <c r="T1405" s="1684"/>
      <c r="U1405" s="1684"/>
      <c r="V1405" s="52"/>
    </row>
    <row r="1406" spans="1:22" s="141" customFormat="1" ht="46.5" customHeight="1">
      <c r="A1406" s="82"/>
      <c r="B1406" s="38"/>
      <c r="D1406" s="1091" t="str">
        <f>"Akun ini menggambarkan realisasi Pendapatan Asli Daerah (PAD) untuk periode Tahun Anggaran "&amp;'2.ISIAN DATA SKPD'!D11&amp;"  dan "&amp;'2.ISIAN DATA SKPD'!D12&amp;" dengan rincian jumlah PAD sebagai berikut :"</f>
        <v>Akun ini menggambarkan realisasi Pendapatan Asli Daerah (PAD) untuk periode Tahun Anggaran 2017  dan 2016 dengan rincian jumlah PAD sebagai berikut :</v>
      </c>
      <c r="E1406" s="1091"/>
      <c r="F1406" s="1091"/>
      <c r="G1406" s="1091"/>
      <c r="H1406" s="1091"/>
      <c r="I1406" s="1091"/>
      <c r="J1406" s="1091"/>
      <c r="K1406" s="1091"/>
      <c r="L1406" s="1091"/>
      <c r="M1406" s="1091"/>
      <c r="N1406" s="1091"/>
      <c r="O1406" s="1091"/>
      <c r="P1406" s="1091"/>
      <c r="Q1406" s="1091"/>
      <c r="R1406" s="1091"/>
      <c r="S1406" s="1091"/>
      <c r="T1406" s="1091"/>
      <c r="U1406" s="1091"/>
      <c r="V1406" s="52"/>
    </row>
    <row r="1407" spans="1:22" s="141" customFormat="1" ht="8.25" customHeight="1">
      <c r="A1407" s="82"/>
      <c r="B1407" s="38"/>
      <c r="D1407" s="783"/>
      <c r="E1407" s="783"/>
      <c r="F1407" s="783"/>
      <c r="G1407" s="783"/>
      <c r="H1407" s="783"/>
      <c r="I1407" s="783"/>
      <c r="J1407" s="783"/>
      <c r="K1407" s="783"/>
      <c r="L1407" s="783"/>
      <c r="M1407" s="783"/>
      <c r="N1407" s="783"/>
      <c r="O1407" s="783"/>
      <c r="P1407" s="783"/>
      <c r="Q1407" s="783"/>
      <c r="R1407" s="783"/>
      <c r="S1407" s="783"/>
      <c r="T1407" s="783"/>
      <c r="U1407" s="783"/>
      <c r="V1407" s="52"/>
    </row>
    <row r="1408" spans="1:22" s="141" customFormat="1" ht="20.25" customHeight="1">
      <c r="A1408" s="1558" t="s">
        <v>9</v>
      </c>
      <c r="B1408" s="1595"/>
      <c r="C1408" s="1595"/>
      <c r="D1408" s="1595"/>
      <c r="E1408" s="1595"/>
      <c r="F1408" s="1595"/>
      <c r="G1408" s="1595"/>
      <c r="H1408" s="1595"/>
      <c r="I1408" s="1596"/>
      <c r="J1408" s="1676" t="str">
        <f>"TA "&amp;'2.ISIAN DATA SKPD'!D11&amp;""</f>
        <v>TA 2017</v>
      </c>
      <c r="K1408" s="1676"/>
      <c r="L1408" s="1676"/>
      <c r="M1408" s="1676"/>
      <c r="N1408" s="1676"/>
      <c r="O1408" s="1676"/>
      <c r="P1408" s="1676" t="str">
        <f>"TA "&amp;'2.ISIAN DATA SKPD'!D12&amp;""</f>
        <v>TA 2016</v>
      </c>
      <c r="Q1408" s="1676"/>
      <c r="R1408" s="1676"/>
      <c r="S1408" s="1676"/>
      <c r="T1408" s="1676"/>
      <c r="U1408" s="1676"/>
      <c r="V1408" s="52"/>
    </row>
    <row r="1409" spans="1:22" s="141" customFormat="1" ht="22.5" customHeight="1">
      <c r="A1409" s="1093" t="s">
        <v>1596</v>
      </c>
      <c r="B1409" s="1094"/>
      <c r="C1409" s="1094"/>
      <c r="D1409" s="1094"/>
      <c r="E1409" s="1094"/>
      <c r="F1409" s="1094"/>
      <c r="G1409" s="1094"/>
      <c r="H1409" s="1094"/>
      <c r="I1409" s="1095"/>
      <c r="J1409" s="1096">
        <f>'5.LO'!E8</f>
        <v>0</v>
      </c>
      <c r="K1409" s="1096"/>
      <c r="L1409" s="1096"/>
      <c r="M1409" s="1096"/>
      <c r="N1409" s="1096"/>
      <c r="O1409" s="1096"/>
      <c r="P1409" s="1096">
        <f>'5.LO'!F8</f>
        <v>0</v>
      </c>
      <c r="Q1409" s="1096"/>
      <c r="R1409" s="1096"/>
      <c r="S1409" s="1096"/>
      <c r="T1409" s="1096"/>
      <c r="U1409" s="1096"/>
      <c r="V1409" s="52"/>
    </row>
    <row r="1410" spans="1:22" s="141" customFormat="1" ht="22.5" customHeight="1">
      <c r="A1410" s="1093" t="s">
        <v>1597</v>
      </c>
      <c r="B1410" s="1094"/>
      <c r="C1410" s="1094"/>
      <c r="D1410" s="1094"/>
      <c r="E1410" s="1094"/>
      <c r="F1410" s="1094"/>
      <c r="G1410" s="1094"/>
      <c r="H1410" s="1094"/>
      <c r="I1410" s="1095"/>
      <c r="J1410" s="1096">
        <f>'5.LO'!E19</f>
        <v>0</v>
      </c>
      <c r="K1410" s="1096"/>
      <c r="L1410" s="1096"/>
      <c r="M1410" s="1096"/>
      <c r="N1410" s="1096"/>
      <c r="O1410" s="1096"/>
      <c r="P1410" s="1096">
        <f>'5.LO'!F19</f>
        <v>0</v>
      </c>
      <c r="Q1410" s="1096"/>
      <c r="R1410" s="1096"/>
      <c r="S1410" s="1096"/>
      <c r="T1410" s="1096"/>
      <c r="U1410" s="1096"/>
      <c r="V1410" s="52"/>
    </row>
    <row r="1411" spans="1:22" s="141" customFormat="1" ht="28.5" customHeight="1">
      <c r="A1411" s="1093" t="s">
        <v>1599</v>
      </c>
      <c r="B1411" s="1094"/>
      <c r="C1411" s="1094"/>
      <c r="D1411" s="1094"/>
      <c r="E1411" s="1094"/>
      <c r="F1411" s="1094"/>
      <c r="G1411" s="1094"/>
      <c r="H1411" s="1094"/>
      <c r="I1411" s="1095"/>
      <c r="J1411" s="1096">
        <f>'5.LO'!E40</f>
        <v>0</v>
      </c>
      <c r="K1411" s="1096"/>
      <c r="L1411" s="1096"/>
      <c r="M1411" s="1096"/>
      <c r="N1411" s="1096"/>
      <c r="O1411" s="1096"/>
      <c r="P1411" s="1096">
        <f>'5.LO'!F40</f>
        <v>0</v>
      </c>
      <c r="Q1411" s="1096"/>
      <c r="R1411" s="1096"/>
      <c r="S1411" s="1096"/>
      <c r="T1411" s="1096"/>
      <c r="U1411" s="1096"/>
      <c r="V1411" s="52"/>
    </row>
    <row r="1412" spans="1:22" s="141" customFormat="1" ht="21" customHeight="1">
      <c r="A1412" s="1093" t="s">
        <v>1598</v>
      </c>
      <c r="B1412" s="1094"/>
      <c r="C1412" s="1094"/>
      <c r="D1412" s="1094"/>
      <c r="E1412" s="1094"/>
      <c r="F1412" s="1094"/>
      <c r="G1412" s="1094"/>
      <c r="H1412" s="1094"/>
      <c r="I1412" s="1095"/>
      <c r="J1412" s="1096">
        <f>'5.LO'!E51</f>
        <v>0</v>
      </c>
      <c r="K1412" s="1096"/>
      <c r="L1412" s="1096"/>
      <c r="M1412" s="1096"/>
      <c r="N1412" s="1096"/>
      <c r="O1412" s="1096"/>
      <c r="P1412" s="1096">
        <f>'5.LO'!F51</f>
        <v>0</v>
      </c>
      <c r="Q1412" s="1096"/>
      <c r="R1412" s="1096"/>
      <c r="S1412" s="1096"/>
      <c r="T1412" s="1096"/>
      <c r="U1412" s="1096"/>
      <c r="V1412" s="52"/>
    </row>
    <row r="1413" spans="1:22" s="141" customFormat="1" ht="22.5" customHeight="1">
      <c r="A1413" s="1093" t="s">
        <v>10</v>
      </c>
      <c r="B1413" s="1094"/>
      <c r="C1413" s="1094"/>
      <c r="D1413" s="1094"/>
      <c r="E1413" s="1094"/>
      <c r="F1413" s="1094"/>
      <c r="G1413" s="1094"/>
      <c r="H1413" s="1094"/>
      <c r="I1413" s="1095"/>
      <c r="J1413" s="1096">
        <f>SUM(J1409:O1412)</f>
        <v>0</v>
      </c>
      <c r="K1413" s="1096"/>
      <c r="L1413" s="1096"/>
      <c r="M1413" s="1096"/>
      <c r="N1413" s="1096"/>
      <c r="O1413" s="1096"/>
      <c r="P1413" s="1096">
        <f>SUM(P1409:U1412)</f>
        <v>0</v>
      </c>
      <c r="Q1413" s="1096"/>
      <c r="R1413" s="1096"/>
      <c r="S1413" s="1096"/>
      <c r="T1413" s="1096"/>
      <c r="U1413" s="1096"/>
      <c r="V1413" s="52"/>
    </row>
    <row r="1414" spans="1:22" s="141" customFormat="1" ht="10.5" customHeight="1">
      <c r="A1414" s="82"/>
      <c r="B1414" s="38"/>
      <c r="V1414" s="52"/>
    </row>
    <row r="1415" spans="1:22" s="141" customFormat="1" ht="32.25" customHeight="1">
      <c r="A1415" s="82"/>
      <c r="B1415" s="38"/>
      <c r="C1415" s="38"/>
      <c r="D1415" s="1683" t="str">
        <f>"Adapun rincian Pendapatan Asli Daerah per "&amp;'2.ISIAN DATA SKPD'!D8&amp;" sebagaimana berikut :"</f>
        <v>Adapun rincian Pendapatan Asli Daerah per 31 Desember 2017 sebagaimana berikut :</v>
      </c>
      <c r="E1415" s="1683"/>
      <c r="F1415" s="1683"/>
      <c r="G1415" s="1683"/>
      <c r="H1415" s="1683"/>
      <c r="I1415" s="1683"/>
      <c r="J1415" s="1683"/>
      <c r="K1415" s="1683"/>
      <c r="L1415" s="1683"/>
      <c r="M1415" s="1683"/>
      <c r="N1415" s="1683"/>
      <c r="O1415" s="1683"/>
      <c r="P1415" s="1683"/>
      <c r="Q1415" s="1683"/>
      <c r="R1415" s="1683"/>
      <c r="S1415" s="1683"/>
      <c r="T1415" s="1683"/>
      <c r="U1415" s="1683"/>
      <c r="V1415" s="52"/>
    </row>
    <row r="1416" spans="1:22" s="141" customFormat="1" ht="18" customHeight="1">
      <c r="A1416" s="82"/>
      <c r="B1416" s="38"/>
      <c r="C1416" s="38"/>
      <c r="D1416" s="24" t="s">
        <v>126</v>
      </c>
      <c r="E1416" s="1681" t="s">
        <v>226</v>
      </c>
      <c r="F1416" s="1681"/>
      <c r="G1416" s="1681"/>
      <c r="H1416" s="1681"/>
      <c r="I1416" s="1681"/>
      <c r="J1416" s="1681"/>
      <c r="K1416" s="1681"/>
      <c r="L1416" s="1681"/>
      <c r="M1416" s="1681"/>
      <c r="N1416" s="1681"/>
      <c r="O1416" s="1682"/>
      <c r="P1416" s="1236" t="s">
        <v>10</v>
      </c>
      <c r="Q1416" s="1237"/>
      <c r="R1416" s="1237"/>
      <c r="S1416" s="1237"/>
      <c r="T1416" s="1237"/>
      <c r="U1416" s="1238"/>
      <c r="V1416" s="52"/>
    </row>
    <row r="1417" spans="1:22" s="141" customFormat="1" ht="18" customHeight="1">
      <c r="A1417" s="82"/>
      <c r="B1417" s="38"/>
      <c r="C1417" s="38"/>
      <c r="D1417" s="24">
        <v>1</v>
      </c>
      <c r="E1417" s="25" t="s">
        <v>802</v>
      </c>
      <c r="F1417" s="25"/>
      <c r="G1417" s="131"/>
      <c r="H1417" s="26"/>
      <c r="I1417" s="26"/>
      <c r="J1417" s="26"/>
      <c r="K1417" s="26"/>
      <c r="L1417" s="26"/>
      <c r="M1417" s="131"/>
      <c r="N1417" s="26"/>
      <c r="O1417" s="132"/>
      <c r="P1417" s="1429">
        <f>'5.LO'!E8</f>
        <v>0</v>
      </c>
      <c r="Q1417" s="1430"/>
      <c r="R1417" s="1430"/>
      <c r="S1417" s="1430"/>
      <c r="T1417" s="1430"/>
      <c r="U1417" s="1431"/>
      <c r="V1417" s="52"/>
    </row>
    <row r="1418" spans="1:22" s="141" customFormat="1" ht="18" customHeight="1">
      <c r="A1418" s="82"/>
      <c r="B1418" s="38"/>
      <c r="C1418" s="38"/>
      <c r="D1418" s="24"/>
      <c r="E1418" s="30" t="s">
        <v>803</v>
      </c>
      <c r="F1418" s="133"/>
      <c r="G1418" s="133"/>
      <c r="H1418" s="90"/>
      <c r="I1418" s="90"/>
      <c r="J1418" s="90"/>
      <c r="K1418" s="90"/>
      <c r="L1418" s="90"/>
      <c r="M1418" s="133"/>
      <c r="N1418" s="90"/>
      <c r="O1418" s="134"/>
      <c r="P1418" s="1417">
        <f>'5.LO'!E9</f>
        <v>0</v>
      </c>
      <c r="Q1418" s="1418"/>
      <c r="R1418" s="1418"/>
      <c r="S1418" s="1418"/>
      <c r="T1418" s="1418"/>
      <c r="U1418" s="1419"/>
      <c r="V1418" s="52"/>
    </row>
    <row r="1419" spans="1:22" s="141" customFormat="1" ht="18" customHeight="1">
      <c r="A1419" s="82"/>
      <c r="B1419" s="38"/>
      <c r="C1419" s="38"/>
      <c r="D1419" s="24"/>
      <c r="E1419" s="30" t="s">
        <v>804</v>
      </c>
      <c r="F1419" s="133"/>
      <c r="G1419" s="133"/>
      <c r="H1419" s="90"/>
      <c r="I1419" s="90"/>
      <c r="J1419" s="90"/>
      <c r="K1419" s="90"/>
      <c r="L1419" s="90"/>
      <c r="M1419" s="133"/>
      <c r="N1419" s="90"/>
      <c r="O1419" s="134"/>
      <c r="P1419" s="1417">
        <f>'5.LO'!E10</f>
        <v>0</v>
      </c>
      <c r="Q1419" s="1418"/>
      <c r="R1419" s="1418"/>
      <c r="S1419" s="1418"/>
      <c r="T1419" s="1418"/>
      <c r="U1419" s="1419"/>
      <c r="V1419" s="52"/>
    </row>
    <row r="1420" spans="1:22" s="141" customFormat="1" ht="18" customHeight="1">
      <c r="A1420" s="82"/>
      <c r="B1420" s="38"/>
      <c r="C1420" s="38"/>
      <c r="D1420" s="24"/>
      <c r="E1420" s="30" t="s">
        <v>805</v>
      </c>
      <c r="F1420" s="133"/>
      <c r="G1420" s="133"/>
      <c r="H1420" s="90"/>
      <c r="I1420" s="90"/>
      <c r="J1420" s="90"/>
      <c r="K1420" s="90"/>
      <c r="L1420" s="90"/>
      <c r="M1420" s="133"/>
      <c r="N1420" s="90"/>
      <c r="O1420" s="134"/>
      <c r="P1420" s="1417">
        <f>'5.LO'!E11</f>
        <v>0</v>
      </c>
      <c r="Q1420" s="1418"/>
      <c r="R1420" s="1418"/>
      <c r="S1420" s="1418"/>
      <c r="T1420" s="1418"/>
      <c r="U1420" s="1419"/>
      <c r="V1420" s="52"/>
    </row>
    <row r="1421" spans="1:22" s="141" customFormat="1" ht="18" customHeight="1">
      <c r="A1421" s="82"/>
      <c r="B1421" s="38"/>
      <c r="C1421" s="38"/>
      <c r="D1421" s="24"/>
      <c r="E1421" s="30" t="s">
        <v>806</v>
      </c>
      <c r="F1421" s="133"/>
      <c r="G1421" s="133"/>
      <c r="H1421" s="90"/>
      <c r="I1421" s="90"/>
      <c r="J1421" s="90"/>
      <c r="K1421" s="90"/>
      <c r="L1421" s="90"/>
      <c r="M1421" s="133"/>
      <c r="N1421" s="90"/>
      <c r="O1421" s="134"/>
      <c r="P1421" s="1417">
        <f>'5.LO'!E12</f>
        <v>0</v>
      </c>
      <c r="Q1421" s="1418"/>
      <c r="R1421" s="1418"/>
      <c r="S1421" s="1418"/>
      <c r="T1421" s="1418"/>
      <c r="U1421" s="1419"/>
      <c r="V1421" s="52"/>
    </row>
    <row r="1422" spans="1:22" s="141" customFormat="1" ht="18" customHeight="1">
      <c r="A1422" s="82"/>
      <c r="B1422" s="38"/>
      <c r="C1422" s="38"/>
      <c r="D1422" s="24"/>
      <c r="E1422" s="30" t="s">
        <v>807</v>
      </c>
      <c r="F1422" s="133"/>
      <c r="G1422" s="133"/>
      <c r="H1422" s="90"/>
      <c r="I1422" s="90"/>
      <c r="J1422" s="90"/>
      <c r="K1422" s="90"/>
      <c r="L1422" s="90"/>
      <c r="M1422" s="133"/>
      <c r="N1422" s="90"/>
      <c r="O1422" s="134"/>
      <c r="P1422" s="1417">
        <f>'5.LO'!E13</f>
        <v>0</v>
      </c>
      <c r="Q1422" s="1418"/>
      <c r="R1422" s="1418"/>
      <c r="S1422" s="1418"/>
      <c r="T1422" s="1418"/>
      <c r="U1422" s="1419"/>
      <c r="V1422" s="52"/>
    </row>
    <row r="1423" spans="1:22" s="141" customFormat="1" ht="18" customHeight="1">
      <c r="A1423" s="82"/>
      <c r="B1423" s="38"/>
      <c r="C1423" s="38"/>
      <c r="D1423" s="24"/>
      <c r="E1423" s="30" t="s">
        <v>808</v>
      </c>
      <c r="F1423" s="133"/>
      <c r="G1423" s="133"/>
      <c r="H1423" s="90"/>
      <c r="I1423" s="90"/>
      <c r="J1423" s="90"/>
      <c r="K1423" s="90"/>
      <c r="L1423" s="90"/>
      <c r="M1423" s="133"/>
      <c r="N1423" s="90"/>
      <c r="O1423" s="134"/>
      <c r="P1423" s="1417">
        <f>'5.LO'!E14</f>
        <v>0</v>
      </c>
      <c r="Q1423" s="1418"/>
      <c r="R1423" s="1418"/>
      <c r="S1423" s="1418"/>
      <c r="T1423" s="1418"/>
      <c r="U1423" s="1419"/>
      <c r="V1423" s="52"/>
    </row>
    <row r="1424" spans="1:22" s="141" customFormat="1" ht="18" customHeight="1">
      <c r="A1424" s="82"/>
      <c r="B1424" s="38"/>
      <c r="C1424" s="38"/>
      <c r="D1424" s="24"/>
      <c r="E1424" s="30" t="s">
        <v>809</v>
      </c>
      <c r="F1424" s="133"/>
      <c r="G1424" s="133"/>
      <c r="H1424" s="90"/>
      <c r="I1424" s="90"/>
      <c r="J1424" s="90"/>
      <c r="K1424" s="90"/>
      <c r="L1424" s="90"/>
      <c r="M1424" s="133"/>
      <c r="N1424" s="90"/>
      <c r="O1424" s="134"/>
      <c r="P1424" s="1417">
        <f>'5.LO'!E15</f>
        <v>0</v>
      </c>
      <c r="Q1424" s="1418"/>
      <c r="R1424" s="1418"/>
      <c r="S1424" s="1418"/>
      <c r="T1424" s="1418"/>
      <c r="U1424" s="1419"/>
      <c r="V1424" s="52"/>
    </row>
    <row r="1425" spans="1:22" s="141" customFormat="1" ht="18" customHeight="1">
      <c r="A1425" s="82"/>
      <c r="B1425" s="38"/>
      <c r="C1425" s="38"/>
      <c r="D1425" s="24"/>
      <c r="E1425" s="30" t="s">
        <v>810</v>
      </c>
      <c r="F1425" s="133"/>
      <c r="G1425" s="133"/>
      <c r="H1425" s="90"/>
      <c r="I1425" s="90"/>
      <c r="J1425" s="90"/>
      <c r="K1425" s="90"/>
      <c r="L1425" s="90"/>
      <c r="M1425" s="133"/>
      <c r="N1425" s="90"/>
      <c r="O1425" s="134"/>
      <c r="P1425" s="1417">
        <f>'5.LO'!E16</f>
        <v>0</v>
      </c>
      <c r="Q1425" s="1418"/>
      <c r="R1425" s="1418"/>
      <c r="S1425" s="1418"/>
      <c r="T1425" s="1418"/>
      <c r="U1425" s="1419"/>
      <c r="V1425" s="52"/>
    </row>
    <row r="1426" spans="1:22" s="141" customFormat="1" ht="18" customHeight="1">
      <c r="A1426" s="82"/>
      <c r="B1426" s="38"/>
      <c r="C1426" s="38"/>
      <c r="D1426" s="24"/>
      <c r="E1426" s="30" t="s">
        <v>811</v>
      </c>
      <c r="F1426" s="133"/>
      <c r="G1426" s="133"/>
      <c r="H1426" s="90"/>
      <c r="I1426" s="90"/>
      <c r="J1426" s="90"/>
      <c r="K1426" s="90"/>
      <c r="L1426" s="90"/>
      <c r="M1426" s="133"/>
      <c r="N1426" s="90"/>
      <c r="O1426" s="134"/>
      <c r="P1426" s="1417">
        <f>'5.LO'!E17</f>
        <v>0</v>
      </c>
      <c r="Q1426" s="1418"/>
      <c r="R1426" s="1418"/>
      <c r="S1426" s="1418"/>
      <c r="T1426" s="1418"/>
      <c r="U1426" s="1419"/>
      <c r="V1426" s="52"/>
    </row>
    <row r="1427" spans="1:22" s="141" customFormat="1" ht="27.75" customHeight="1">
      <c r="A1427" s="82"/>
      <c r="B1427" s="38"/>
      <c r="C1427" s="38"/>
      <c r="D1427" s="24"/>
      <c r="E1427" s="1117" t="s">
        <v>812</v>
      </c>
      <c r="F1427" s="1117"/>
      <c r="G1427" s="1117"/>
      <c r="H1427" s="1117"/>
      <c r="I1427" s="1117"/>
      <c r="J1427" s="1117"/>
      <c r="K1427" s="1117"/>
      <c r="L1427" s="1117"/>
      <c r="M1427" s="1117"/>
      <c r="N1427" s="1117"/>
      <c r="O1427" s="1424"/>
      <c r="P1427" s="1417">
        <f>'5.LO'!E18</f>
        <v>0</v>
      </c>
      <c r="Q1427" s="1418"/>
      <c r="R1427" s="1418"/>
      <c r="S1427" s="1418"/>
      <c r="T1427" s="1418"/>
      <c r="U1427" s="1419"/>
      <c r="V1427" s="52"/>
    </row>
    <row r="1428" spans="1:22" s="141" customFormat="1" ht="18" customHeight="1">
      <c r="A1428" s="82"/>
      <c r="B1428" s="38"/>
      <c r="C1428" s="38"/>
      <c r="D1428" s="24">
        <v>2</v>
      </c>
      <c r="E1428" s="25" t="s">
        <v>792</v>
      </c>
      <c r="F1428" s="25"/>
      <c r="G1428" s="131"/>
      <c r="H1428" s="26"/>
      <c r="I1428" s="26"/>
      <c r="J1428" s="26"/>
      <c r="K1428" s="26"/>
      <c r="L1428" s="26"/>
      <c r="M1428" s="131"/>
      <c r="N1428" s="26"/>
      <c r="O1428" s="132"/>
      <c r="P1428" s="1429">
        <f>'5.LO'!E19</f>
        <v>0</v>
      </c>
      <c r="Q1428" s="1430"/>
      <c r="R1428" s="1430"/>
      <c r="S1428" s="1430"/>
      <c r="T1428" s="1430"/>
      <c r="U1428" s="1431"/>
      <c r="V1428" s="52"/>
    </row>
    <row r="1429" spans="1:22" s="141" customFormat="1" ht="18" customHeight="1">
      <c r="A1429" s="82"/>
      <c r="B1429" s="38"/>
      <c r="C1429" s="38"/>
      <c r="D1429" s="24"/>
      <c r="E1429" s="25" t="s">
        <v>813</v>
      </c>
      <c r="F1429" s="135"/>
      <c r="G1429" s="135"/>
      <c r="H1429" s="27"/>
      <c r="I1429" s="27"/>
      <c r="J1429" s="27"/>
      <c r="K1429" s="27"/>
      <c r="L1429" s="27"/>
      <c r="M1429" s="135"/>
      <c r="N1429" s="27"/>
      <c r="O1429" s="136"/>
      <c r="P1429" s="1429">
        <f>'5.LO'!E20</f>
        <v>0</v>
      </c>
      <c r="Q1429" s="1430"/>
      <c r="R1429" s="1430"/>
      <c r="S1429" s="1430"/>
      <c r="T1429" s="1430"/>
      <c r="U1429" s="1431"/>
      <c r="V1429" s="52"/>
    </row>
    <row r="1430" spans="1:22" s="141" customFormat="1" ht="18" customHeight="1">
      <c r="A1430" s="82"/>
      <c r="B1430" s="38"/>
      <c r="C1430" s="38"/>
      <c r="D1430" s="28"/>
      <c r="E1430" s="29"/>
      <c r="F1430" s="30" t="s">
        <v>814</v>
      </c>
      <c r="G1430" s="135"/>
      <c r="H1430" s="27"/>
      <c r="I1430" s="27"/>
      <c r="J1430" s="27"/>
      <c r="K1430" s="27"/>
      <c r="L1430" s="27"/>
      <c r="M1430" s="135"/>
      <c r="N1430" s="27"/>
      <c r="O1430" s="136"/>
      <c r="P1430" s="1417">
        <f>'5.LO'!E21</f>
        <v>0</v>
      </c>
      <c r="Q1430" s="1418"/>
      <c r="R1430" s="1418"/>
      <c r="S1430" s="1418"/>
      <c r="T1430" s="1418"/>
      <c r="U1430" s="1419"/>
      <c r="V1430" s="52"/>
    </row>
    <row r="1431" spans="1:22" s="141" customFormat="1" ht="18" customHeight="1">
      <c r="A1431" s="82"/>
      <c r="B1431" s="38"/>
      <c r="C1431" s="38"/>
      <c r="D1431" s="28"/>
      <c r="E1431" s="29"/>
      <c r="F1431" s="30" t="s">
        <v>815</v>
      </c>
      <c r="G1431" s="135"/>
      <c r="H1431" s="27"/>
      <c r="I1431" s="27"/>
      <c r="J1431" s="27"/>
      <c r="K1431" s="27"/>
      <c r="L1431" s="27"/>
      <c r="M1431" s="135"/>
      <c r="N1431" s="27"/>
      <c r="O1431" s="136"/>
      <c r="P1431" s="1417">
        <f>'5.LO'!E22</f>
        <v>0</v>
      </c>
      <c r="Q1431" s="1418"/>
      <c r="R1431" s="1418"/>
      <c r="S1431" s="1418"/>
      <c r="T1431" s="1418"/>
      <c r="U1431" s="1419"/>
      <c r="V1431" s="52"/>
    </row>
    <row r="1432" spans="1:22" s="141" customFormat="1" ht="18" customHeight="1">
      <c r="A1432" s="82"/>
      <c r="B1432" s="38"/>
      <c r="C1432" s="38"/>
      <c r="D1432" s="28"/>
      <c r="E1432" s="29"/>
      <c r="F1432" s="30" t="s">
        <v>816</v>
      </c>
      <c r="G1432" s="135"/>
      <c r="H1432" s="27"/>
      <c r="I1432" s="27"/>
      <c r="J1432" s="27"/>
      <c r="K1432" s="27"/>
      <c r="L1432" s="27"/>
      <c r="M1432" s="135"/>
      <c r="N1432" s="27"/>
      <c r="O1432" s="136"/>
      <c r="P1432" s="1417">
        <f>'5.LO'!E23</f>
        <v>0</v>
      </c>
      <c r="Q1432" s="1418"/>
      <c r="R1432" s="1418"/>
      <c r="S1432" s="1418"/>
      <c r="T1432" s="1418"/>
      <c r="U1432" s="1419"/>
      <c r="V1432" s="52"/>
    </row>
    <row r="1433" spans="1:22" s="141" customFormat="1" ht="18" customHeight="1">
      <c r="A1433" s="82"/>
      <c r="B1433" s="38"/>
      <c r="C1433" s="38"/>
      <c r="D1433" s="28"/>
      <c r="E1433" s="29"/>
      <c r="F1433" s="30" t="s">
        <v>817</v>
      </c>
      <c r="G1433" s="135"/>
      <c r="H1433" s="27"/>
      <c r="I1433" s="27"/>
      <c r="J1433" s="27"/>
      <c r="K1433" s="27"/>
      <c r="L1433" s="27"/>
      <c r="M1433" s="135"/>
      <c r="N1433" s="27"/>
      <c r="O1433" s="136"/>
      <c r="P1433" s="1417">
        <f>'5.LO'!E24</f>
        <v>0</v>
      </c>
      <c r="Q1433" s="1418"/>
      <c r="R1433" s="1418"/>
      <c r="S1433" s="1418"/>
      <c r="T1433" s="1418"/>
      <c r="U1433" s="1419"/>
      <c r="V1433" s="52"/>
    </row>
    <row r="1434" spans="1:22" s="141" customFormat="1" ht="18" customHeight="1">
      <c r="A1434" s="82"/>
      <c r="B1434" s="38"/>
      <c r="C1434" s="38"/>
      <c r="D1434" s="28"/>
      <c r="E1434" s="29"/>
      <c r="F1434" s="30" t="s">
        <v>818</v>
      </c>
      <c r="G1434" s="135"/>
      <c r="H1434" s="27"/>
      <c r="I1434" s="27"/>
      <c r="J1434" s="27"/>
      <c r="K1434" s="27"/>
      <c r="L1434" s="27"/>
      <c r="M1434" s="135"/>
      <c r="N1434" s="27"/>
      <c r="O1434" s="136"/>
      <c r="P1434" s="1417">
        <f>'5.LO'!E25</f>
        <v>0</v>
      </c>
      <c r="Q1434" s="1418"/>
      <c r="R1434" s="1418"/>
      <c r="S1434" s="1418"/>
      <c r="T1434" s="1418"/>
      <c r="U1434" s="1419"/>
      <c r="V1434" s="52"/>
    </row>
    <row r="1435" spans="1:22" s="141" customFormat="1" ht="18" customHeight="1">
      <c r="A1435" s="82"/>
      <c r="B1435" s="38"/>
      <c r="C1435" s="38"/>
      <c r="D1435" s="28"/>
      <c r="E1435" s="29"/>
      <c r="F1435" s="30" t="s">
        <v>819</v>
      </c>
      <c r="G1435" s="135"/>
      <c r="H1435" s="27"/>
      <c r="I1435" s="27"/>
      <c r="J1435" s="27"/>
      <c r="K1435" s="27"/>
      <c r="L1435" s="27"/>
      <c r="M1435" s="135"/>
      <c r="N1435" s="27"/>
      <c r="O1435" s="136"/>
      <c r="P1435" s="1417">
        <f>'5.LO'!E26</f>
        <v>0</v>
      </c>
      <c r="Q1435" s="1418"/>
      <c r="R1435" s="1418"/>
      <c r="S1435" s="1418"/>
      <c r="T1435" s="1418"/>
      <c r="U1435" s="1419"/>
      <c r="V1435" s="52"/>
    </row>
    <row r="1436" spans="1:22" s="141" customFormat="1" ht="18" customHeight="1">
      <c r="A1436" s="82"/>
      <c r="B1436" s="38"/>
      <c r="C1436" s="38"/>
      <c r="D1436" s="28"/>
      <c r="E1436" s="29"/>
      <c r="F1436" s="30" t="s">
        <v>820</v>
      </c>
      <c r="G1436" s="135"/>
      <c r="H1436" s="27"/>
      <c r="I1436" s="27"/>
      <c r="J1436" s="27"/>
      <c r="K1436" s="27"/>
      <c r="L1436" s="27"/>
      <c r="M1436" s="135"/>
      <c r="N1436" s="27"/>
      <c r="O1436" s="136"/>
      <c r="P1436" s="1417">
        <f>'5.LO'!E27</f>
        <v>0</v>
      </c>
      <c r="Q1436" s="1418"/>
      <c r="R1436" s="1418"/>
      <c r="S1436" s="1418"/>
      <c r="T1436" s="1418"/>
      <c r="U1436" s="1419"/>
      <c r="V1436" s="52"/>
    </row>
    <row r="1437" spans="1:22" s="141" customFormat="1" ht="18" customHeight="1">
      <c r="A1437" s="82"/>
      <c r="B1437" s="38"/>
      <c r="C1437" s="38"/>
      <c r="D1437" s="137"/>
      <c r="E1437" s="25" t="s">
        <v>821</v>
      </c>
      <c r="F1437" s="135"/>
      <c r="G1437" s="135"/>
      <c r="H1437" s="27"/>
      <c r="I1437" s="27"/>
      <c r="J1437" s="27"/>
      <c r="K1437" s="27"/>
      <c r="L1437" s="27"/>
      <c r="M1437" s="135"/>
      <c r="N1437" s="27"/>
      <c r="O1437" s="136"/>
      <c r="P1437" s="1429">
        <f>'5.LO'!E28</f>
        <v>0</v>
      </c>
      <c r="Q1437" s="1430"/>
      <c r="R1437" s="1430"/>
      <c r="S1437" s="1430"/>
      <c r="T1437" s="1430"/>
      <c r="U1437" s="1431"/>
      <c r="V1437" s="52"/>
    </row>
    <row r="1438" spans="1:22" s="141" customFormat="1" ht="18" customHeight="1">
      <c r="A1438" s="82"/>
      <c r="B1438" s="38"/>
      <c r="C1438" s="38"/>
      <c r="D1438" s="28"/>
      <c r="E1438" s="29"/>
      <c r="F1438" s="30" t="s">
        <v>822</v>
      </c>
      <c r="G1438" s="135"/>
      <c r="H1438" s="27"/>
      <c r="I1438" s="27"/>
      <c r="J1438" s="27"/>
      <c r="K1438" s="27"/>
      <c r="L1438" s="27"/>
      <c r="M1438" s="135"/>
      <c r="N1438" s="27"/>
      <c r="O1438" s="136"/>
      <c r="P1438" s="1417">
        <f>'5.LO'!E29</f>
        <v>0</v>
      </c>
      <c r="Q1438" s="1418"/>
      <c r="R1438" s="1418"/>
      <c r="S1438" s="1418"/>
      <c r="T1438" s="1418"/>
      <c r="U1438" s="1419"/>
      <c r="V1438" s="52"/>
    </row>
    <row r="1439" spans="1:22" s="141" customFormat="1" ht="18" customHeight="1">
      <c r="A1439" s="82"/>
      <c r="B1439" s="38"/>
      <c r="C1439" s="38"/>
      <c r="D1439" s="28"/>
      <c r="E1439" s="29"/>
      <c r="F1439" s="30" t="s">
        <v>823</v>
      </c>
      <c r="G1439" s="135"/>
      <c r="H1439" s="27"/>
      <c r="I1439" s="27"/>
      <c r="J1439" s="27"/>
      <c r="K1439" s="27"/>
      <c r="L1439" s="27"/>
      <c r="M1439" s="135"/>
      <c r="N1439" s="27"/>
      <c r="O1439" s="136"/>
      <c r="P1439" s="1417">
        <f>'5.LO'!E30</f>
        <v>0</v>
      </c>
      <c r="Q1439" s="1418"/>
      <c r="R1439" s="1418"/>
      <c r="S1439" s="1418"/>
      <c r="T1439" s="1418"/>
      <c r="U1439" s="1419"/>
      <c r="V1439" s="52"/>
    </row>
    <row r="1440" spans="1:22" s="141" customFormat="1" ht="18" customHeight="1">
      <c r="A1440" s="82"/>
      <c r="B1440" s="38"/>
      <c r="C1440" s="38"/>
      <c r="D1440" s="28"/>
      <c r="E1440" s="29"/>
      <c r="F1440" s="30" t="s">
        <v>824</v>
      </c>
      <c r="G1440" s="135"/>
      <c r="H1440" s="27"/>
      <c r="I1440" s="27"/>
      <c r="J1440" s="27"/>
      <c r="K1440" s="27"/>
      <c r="L1440" s="27"/>
      <c r="M1440" s="135"/>
      <c r="N1440" s="27"/>
      <c r="O1440" s="136"/>
      <c r="P1440" s="1417">
        <f>'5.LO'!E31</f>
        <v>0</v>
      </c>
      <c r="Q1440" s="1418"/>
      <c r="R1440" s="1418"/>
      <c r="S1440" s="1418"/>
      <c r="T1440" s="1418"/>
      <c r="U1440" s="1419"/>
      <c r="V1440" s="52"/>
    </row>
    <row r="1441" spans="1:22" s="141" customFormat="1" ht="18" customHeight="1">
      <c r="A1441" s="82"/>
      <c r="B1441" s="38"/>
      <c r="C1441" s="38"/>
      <c r="D1441" s="28"/>
      <c r="E1441" s="29"/>
      <c r="F1441" s="30" t="s">
        <v>825</v>
      </c>
      <c r="G1441" s="135"/>
      <c r="H1441" s="27"/>
      <c r="I1441" s="27"/>
      <c r="J1441" s="27"/>
      <c r="K1441" s="27"/>
      <c r="L1441" s="27"/>
      <c r="M1441" s="135"/>
      <c r="N1441" s="27"/>
      <c r="O1441" s="136"/>
      <c r="P1441" s="1417">
        <f>'5.LO'!E32</f>
        <v>0</v>
      </c>
      <c r="Q1441" s="1418"/>
      <c r="R1441" s="1418"/>
      <c r="S1441" s="1418"/>
      <c r="T1441" s="1418"/>
      <c r="U1441" s="1419"/>
      <c r="V1441" s="52"/>
    </row>
    <row r="1442" spans="1:22" s="141" customFormat="1" ht="18" customHeight="1">
      <c r="A1442" s="82"/>
      <c r="B1442" s="38"/>
      <c r="C1442" s="38"/>
      <c r="D1442" s="28"/>
      <c r="E1442" s="29"/>
      <c r="F1442" s="30" t="s">
        <v>826</v>
      </c>
      <c r="G1442" s="135"/>
      <c r="H1442" s="27"/>
      <c r="I1442" s="27"/>
      <c r="J1442" s="27"/>
      <c r="K1442" s="27"/>
      <c r="L1442" s="27"/>
      <c r="M1442" s="135"/>
      <c r="N1442" s="27"/>
      <c r="O1442" s="136"/>
      <c r="P1442" s="1417">
        <f>'5.LO'!E33</f>
        <v>0</v>
      </c>
      <c r="Q1442" s="1418"/>
      <c r="R1442" s="1418"/>
      <c r="S1442" s="1418"/>
      <c r="T1442" s="1418"/>
      <c r="U1442" s="1419"/>
      <c r="V1442" s="52"/>
    </row>
    <row r="1443" spans="1:22" s="141" customFormat="1" ht="18" customHeight="1">
      <c r="A1443" s="82"/>
      <c r="B1443" s="38"/>
      <c r="C1443" s="38"/>
      <c r="D1443" s="28"/>
      <c r="E1443" s="29"/>
      <c r="F1443" s="30" t="s">
        <v>827</v>
      </c>
      <c r="G1443" s="135"/>
      <c r="H1443" s="27"/>
      <c r="I1443" s="27"/>
      <c r="J1443" s="27"/>
      <c r="K1443" s="27"/>
      <c r="L1443" s="27"/>
      <c r="M1443" s="135"/>
      <c r="N1443" s="27"/>
      <c r="O1443" s="136"/>
      <c r="P1443" s="1417">
        <f>'5.LO'!E34</f>
        <v>0</v>
      </c>
      <c r="Q1443" s="1418"/>
      <c r="R1443" s="1418"/>
      <c r="S1443" s="1418"/>
      <c r="T1443" s="1418"/>
      <c r="U1443" s="1419"/>
      <c r="V1443" s="52"/>
    </row>
    <row r="1444" spans="1:22" s="141" customFormat="1" ht="18" customHeight="1">
      <c r="A1444" s="82"/>
      <c r="B1444" s="38"/>
      <c r="C1444" s="38"/>
      <c r="D1444" s="28"/>
      <c r="E1444" s="29"/>
      <c r="F1444" s="30" t="s">
        <v>828</v>
      </c>
      <c r="G1444" s="135"/>
      <c r="H1444" s="27"/>
      <c r="I1444" s="27"/>
      <c r="J1444" s="27"/>
      <c r="K1444" s="27"/>
      <c r="L1444" s="27"/>
      <c r="M1444" s="135"/>
      <c r="N1444" s="27"/>
      <c r="O1444" s="136"/>
      <c r="P1444" s="1417">
        <f>'5.LO'!E35</f>
        <v>0</v>
      </c>
      <c r="Q1444" s="1418"/>
      <c r="R1444" s="1418"/>
      <c r="S1444" s="1418"/>
      <c r="T1444" s="1418"/>
      <c r="U1444" s="1419"/>
      <c r="V1444" s="52"/>
    </row>
    <row r="1445" spans="1:22" s="141" customFormat="1" ht="18" customHeight="1">
      <c r="A1445" s="82"/>
      <c r="B1445" s="38"/>
      <c r="C1445" s="38"/>
      <c r="D1445" s="24"/>
      <c r="E1445" s="25" t="s">
        <v>829</v>
      </c>
      <c r="F1445" s="135"/>
      <c r="G1445" s="135"/>
      <c r="H1445" s="27"/>
      <c r="I1445" s="27"/>
      <c r="J1445" s="27"/>
      <c r="K1445" s="27"/>
      <c r="L1445" s="27"/>
      <c r="M1445" s="135"/>
      <c r="N1445" s="27"/>
      <c r="O1445" s="136"/>
      <c r="P1445" s="1429">
        <f>'5.LO'!E36</f>
        <v>0</v>
      </c>
      <c r="Q1445" s="1430"/>
      <c r="R1445" s="1430"/>
      <c r="S1445" s="1430"/>
      <c r="T1445" s="1430"/>
      <c r="U1445" s="1431"/>
      <c r="V1445" s="52"/>
    </row>
    <row r="1446" spans="1:22" s="141" customFormat="1" ht="18" customHeight="1">
      <c r="A1446" s="82"/>
      <c r="B1446" s="38"/>
      <c r="C1446" s="38"/>
      <c r="D1446" s="28"/>
      <c r="E1446" s="29"/>
      <c r="F1446" s="30" t="s">
        <v>830</v>
      </c>
      <c r="G1446" s="135"/>
      <c r="H1446" s="27"/>
      <c r="I1446" s="27"/>
      <c r="J1446" s="27"/>
      <c r="K1446" s="27"/>
      <c r="L1446" s="27"/>
      <c r="M1446" s="135"/>
      <c r="N1446" s="27"/>
      <c r="O1446" s="136"/>
      <c r="P1446" s="1417">
        <f>'5.LO'!E37</f>
        <v>0</v>
      </c>
      <c r="Q1446" s="1418"/>
      <c r="R1446" s="1418"/>
      <c r="S1446" s="1418"/>
      <c r="T1446" s="1418"/>
      <c r="U1446" s="1419"/>
      <c r="V1446" s="52"/>
    </row>
    <row r="1447" spans="1:22" s="141" customFormat="1" ht="18" customHeight="1">
      <c r="A1447" s="82"/>
      <c r="B1447" s="38"/>
      <c r="C1447" s="38"/>
      <c r="D1447" s="28"/>
      <c r="E1447" s="29"/>
      <c r="F1447" s="30" t="s">
        <v>831</v>
      </c>
      <c r="G1447" s="135"/>
      <c r="H1447" s="27"/>
      <c r="I1447" s="27"/>
      <c r="J1447" s="27"/>
      <c r="K1447" s="27"/>
      <c r="L1447" s="27"/>
      <c r="M1447" s="135"/>
      <c r="N1447" s="27"/>
      <c r="O1447" s="136"/>
      <c r="P1447" s="1417">
        <f>'5.LO'!E38</f>
        <v>0</v>
      </c>
      <c r="Q1447" s="1418"/>
      <c r="R1447" s="1418"/>
      <c r="S1447" s="1418"/>
      <c r="T1447" s="1418"/>
      <c r="U1447" s="1419"/>
      <c r="V1447" s="52"/>
    </row>
    <row r="1448" spans="1:22" s="141" customFormat="1" ht="18" customHeight="1">
      <c r="A1448" s="82"/>
      <c r="B1448" s="38"/>
      <c r="C1448" s="38"/>
      <c r="D1448" s="28"/>
      <c r="E1448" s="29"/>
      <c r="F1448" s="30" t="s">
        <v>832</v>
      </c>
      <c r="G1448" s="135"/>
      <c r="H1448" s="27"/>
      <c r="I1448" s="27"/>
      <c r="J1448" s="27"/>
      <c r="K1448" s="27"/>
      <c r="L1448" s="27"/>
      <c r="M1448" s="135"/>
      <c r="N1448" s="27"/>
      <c r="O1448" s="136"/>
      <c r="P1448" s="1417">
        <f>'5.LO'!E39</f>
        <v>0</v>
      </c>
      <c r="Q1448" s="1418"/>
      <c r="R1448" s="1418"/>
      <c r="S1448" s="1418"/>
      <c r="T1448" s="1418"/>
      <c r="U1448" s="1419"/>
      <c r="V1448" s="52"/>
    </row>
    <row r="1449" spans="1:22" s="141" customFormat="1" ht="24" customHeight="1">
      <c r="A1449" s="82"/>
      <c r="B1449" s="38"/>
      <c r="C1449" s="38"/>
      <c r="D1449" s="24">
        <v>3</v>
      </c>
      <c r="E1449" s="1120" t="s">
        <v>833</v>
      </c>
      <c r="F1449" s="1120"/>
      <c r="G1449" s="1120"/>
      <c r="H1449" s="1120"/>
      <c r="I1449" s="1120"/>
      <c r="J1449" s="1120"/>
      <c r="K1449" s="1120"/>
      <c r="L1449" s="1120"/>
      <c r="M1449" s="1120"/>
      <c r="N1449" s="1120"/>
      <c r="O1449" s="1121"/>
      <c r="P1449" s="1429">
        <f>'5.LO'!E40</f>
        <v>0</v>
      </c>
      <c r="Q1449" s="1430"/>
      <c r="R1449" s="1430"/>
      <c r="S1449" s="1430"/>
      <c r="T1449" s="1430"/>
      <c r="U1449" s="1431"/>
      <c r="V1449" s="52"/>
    </row>
    <row r="1450" spans="1:22" s="141" customFormat="1" ht="27.75" customHeight="1">
      <c r="A1450" s="82"/>
      <c r="B1450" s="38"/>
      <c r="C1450" s="38"/>
      <c r="D1450" s="24"/>
      <c r="E1450" s="1120" t="s">
        <v>834</v>
      </c>
      <c r="F1450" s="1120"/>
      <c r="G1450" s="1120"/>
      <c r="H1450" s="1120"/>
      <c r="I1450" s="1120"/>
      <c r="J1450" s="1120"/>
      <c r="K1450" s="1120"/>
      <c r="L1450" s="1120"/>
      <c r="M1450" s="1120"/>
      <c r="N1450" s="1120"/>
      <c r="O1450" s="1121"/>
      <c r="P1450" s="1429">
        <f>'5.LO'!E41</f>
        <v>0</v>
      </c>
      <c r="Q1450" s="1430"/>
      <c r="R1450" s="1430"/>
      <c r="S1450" s="1430"/>
      <c r="T1450" s="1430"/>
      <c r="U1450" s="1431"/>
      <c r="V1450" s="52"/>
    </row>
    <row r="1451" spans="1:22" s="141" customFormat="1" ht="18" customHeight="1">
      <c r="A1451" s="82"/>
      <c r="B1451" s="38"/>
      <c r="C1451" s="38"/>
      <c r="D1451" s="28"/>
      <c r="E1451" s="29"/>
      <c r="F1451" s="30" t="s">
        <v>835</v>
      </c>
      <c r="G1451" s="135"/>
      <c r="H1451" s="27"/>
      <c r="I1451" s="27"/>
      <c r="J1451" s="27"/>
      <c r="K1451" s="27"/>
      <c r="L1451" s="27"/>
      <c r="M1451" s="135"/>
      <c r="N1451" s="27"/>
      <c r="O1451" s="136"/>
      <c r="P1451" s="1417">
        <f>'5.LO'!E42</f>
        <v>0</v>
      </c>
      <c r="Q1451" s="1418"/>
      <c r="R1451" s="1418"/>
      <c r="S1451" s="1418"/>
      <c r="T1451" s="1418"/>
      <c r="U1451" s="1419"/>
      <c r="V1451" s="52"/>
    </row>
    <row r="1452" spans="1:22" s="141" customFormat="1" ht="18" customHeight="1">
      <c r="A1452" s="82"/>
      <c r="B1452" s="38"/>
      <c r="C1452" s="38"/>
      <c r="D1452" s="28"/>
      <c r="E1452" s="29"/>
      <c r="F1452" s="30" t="s">
        <v>836</v>
      </c>
      <c r="G1452" s="135"/>
      <c r="H1452" s="27"/>
      <c r="I1452" s="27"/>
      <c r="J1452" s="27"/>
      <c r="K1452" s="27"/>
      <c r="L1452" s="27"/>
      <c r="M1452" s="135"/>
      <c r="N1452" s="27"/>
      <c r="O1452" s="136"/>
      <c r="P1452" s="1417">
        <f>'5.LO'!E43</f>
        <v>0</v>
      </c>
      <c r="Q1452" s="1418"/>
      <c r="R1452" s="1418"/>
      <c r="S1452" s="1418"/>
      <c r="T1452" s="1418"/>
      <c r="U1452" s="1419"/>
      <c r="V1452" s="52"/>
    </row>
    <row r="1453" spans="1:22" s="141" customFormat="1" ht="18" customHeight="1">
      <c r="A1453" s="82"/>
      <c r="B1453" s="38"/>
      <c r="C1453" s="38"/>
      <c r="D1453" s="28"/>
      <c r="E1453" s="29"/>
      <c r="F1453" s="30" t="s">
        <v>837</v>
      </c>
      <c r="G1453" s="135"/>
      <c r="H1453" s="27"/>
      <c r="I1453" s="27"/>
      <c r="J1453" s="27"/>
      <c r="K1453" s="27"/>
      <c r="L1453" s="27"/>
      <c r="M1453" s="135"/>
      <c r="N1453" s="27"/>
      <c r="O1453" s="136"/>
      <c r="P1453" s="1417">
        <f>'5.LO'!E44</f>
        <v>0</v>
      </c>
      <c r="Q1453" s="1418"/>
      <c r="R1453" s="1418"/>
      <c r="S1453" s="1418"/>
      <c r="T1453" s="1418"/>
      <c r="U1453" s="1419"/>
      <c r="V1453" s="52"/>
    </row>
    <row r="1454" spans="1:22" s="141" customFormat="1" ht="18" customHeight="1">
      <c r="A1454" s="82"/>
      <c r="B1454" s="38"/>
      <c r="C1454" s="38"/>
      <c r="D1454" s="28"/>
      <c r="E1454" s="29"/>
      <c r="F1454" s="30" t="s">
        <v>838</v>
      </c>
      <c r="G1454" s="135"/>
      <c r="H1454" s="27"/>
      <c r="I1454" s="27"/>
      <c r="J1454" s="27"/>
      <c r="K1454" s="27"/>
      <c r="L1454" s="27"/>
      <c r="M1454" s="135"/>
      <c r="N1454" s="27"/>
      <c r="O1454" s="136"/>
      <c r="P1454" s="1417">
        <f>'5.LO'!E45</f>
        <v>0</v>
      </c>
      <c r="Q1454" s="1418"/>
      <c r="R1454" s="1418"/>
      <c r="S1454" s="1418"/>
      <c r="T1454" s="1418"/>
      <c r="U1454" s="1419"/>
      <c r="V1454" s="52"/>
    </row>
    <row r="1455" spans="1:22" s="141" customFormat="1" ht="18" customHeight="1">
      <c r="A1455" s="82"/>
      <c r="B1455" s="38"/>
      <c r="C1455" s="38"/>
      <c r="D1455" s="28"/>
      <c r="E1455" s="29"/>
      <c r="F1455" s="30" t="s">
        <v>839</v>
      </c>
      <c r="G1455" s="135"/>
      <c r="H1455" s="27"/>
      <c r="I1455" s="27"/>
      <c r="J1455" s="27"/>
      <c r="K1455" s="27"/>
      <c r="L1455" s="27"/>
      <c r="M1455" s="135"/>
      <c r="N1455" s="27"/>
      <c r="O1455" s="136"/>
      <c r="P1455" s="1417">
        <f>'5.LO'!E46</f>
        <v>0</v>
      </c>
      <c r="Q1455" s="1418"/>
      <c r="R1455" s="1418"/>
      <c r="S1455" s="1418"/>
      <c r="T1455" s="1418"/>
      <c r="U1455" s="1419"/>
      <c r="V1455" s="52"/>
    </row>
    <row r="1456" spans="1:22" s="141" customFormat="1" ht="18" customHeight="1">
      <c r="A1456" s="82"/>
      <c r="B1456" s="38"/>
      <c r="C1456" s="38"/>
      <c r="D1456" s="28"/>
      <c r="E1456" s="29"/>
      <c r="F1456" s="30" t="s">
        <v>840</v>
      </c>
      <c r="G1456" s="135"/>
      <c r="H1456" s="27"/>
      <c r="I1456" s="27"/>
      <c r="J1456" s="27"/>
      <c r="K1456" s="27"/>
      <c r="L1456" s="27"/>
      <c r="M1456" s="135"/>
      <c r="N1456" s="27"/>
      <c r="O1456" s="136"/>
      <c r="P1456" s="1417">
        <f>'5.LO'!E47</f>
        <v>0</v>
      </c>
      <c r="Q1456" s="1418"/>
      <c r="R1456" s="1418"/>
      <c r="S1456" s="1418"/>
      <c r="T1456" s="1418"/>
      <c r="U1456" s="1419"/>
      <c r="V1456" s="52"/>
    </row>
    <row r="1457" spans="1:22" s="141" customFormat="1" ht="24.75" customHeight="1">
      <c r="A1457" s="82"/>
      <c r="B1457" s="38"/>
      <c r="C1457" s="38"/>
      <c r="D1457" s="24"/>
      <c r="E1457" s="138"/>
      <c r="F1457" s="1122" t="s">
        <v>841</v>
      </c>
      <c r="G1457" s="1118"/>
      <c r="H1457" s="1118"/>
      <c r="I1457" s="1118"/>
      <c r="J1457" s="1118"/>
      <c r="K1457" s="1118"/>
      <c r="L1457" s="1118"/>
      <c r="M1457" s="1118"/>
      <c r="N1457" s="1118"/>
      <c r="O1457" s="1119"/>
      <c r="P1457" s="1429">
        <f>'5.LO'!E48</f>
        <v>0</v>
      </c>
      <c r="Q1457" s="1430"/>
      <c r="R1457" s="1430"/>
      <c r="S1457" s="1430"/>
      <c r="T1457" s="1430"/>
      <c r="U1457" s="1431"/>
      <c r="V1457" s="52"/>
    </row>
    <row r="1458" spans="1:22" s="141" customFormat="1" ht="18" customHeight="1">
      <c r="A1458" s="82"/>
      <c r="B1458" s="38"/>
      <c r="C1458" s="38"/>
      <c r="D1458" s="28"/>
      <c r="E1458" s="29"/>
      <c r="F1458" s="30" t="s">
        <v>842</v>
      </c>
      <c r="G1458" s="135"/>
      <c r="H1458" s="27"/>
      <c r="I1458" s="27"/>
      <c r="J1458" s="27"/>
      <c r="K1458" s="27"/>
      <c r="L1458" s="27"/>
      <c r="M1458" s="135"/>
      <c r="N1458" s="27"/>
      <c r="O1458" s="136"/>
      <c r="P1458" s="1417">
        <f>'5.LO'!E49</f>
        <v>0</v>
      </c>
      <c r="Q1458" s="1418"/>
      <c r="R1458" s="1418"/>
      <c r="S1458" s="1418"/>
      <c r="T1458" s="1418"/>
      <c r="U1458" s="1419"/>
      <c r="V1458" s="52"/>
    </row>
    <row r="1459" spans="1:22" s="141" customFormat="1" ht="18" customHeight="1">
      <c r="A1459" s="82"/>
      <c r="B1459" s="38"/>
      <c r="C1459" s="38"/>
      <c r="D1459" s="28"/>
      <c r="E1459" s="29"/>
      <c r="F1459" s="30" t="s">
        <v>843</v>
      </c>
      <c r="G1459" s="135"/>
      <c r="H1459" s="27"/>
      <c r="I1459" s="27"/>
      <c r="J1459" s="27"/>
      <c r="K1459" s="27"/>
      <c r="L1459" s="27"/>
      <c r="M1459" s="135"/>
      <c r="N1459" s="27"/>
      <c r="O1459" s="136"/>
      <c r="P1459" s="1417">
        <f>'5.LO'!E50</f>
        <v>0</v>
      </c>
      <c r="Q1459" s="1418"/>
      <c r="R1459" s="1418"/>
      <c r="S1459" s="1418"/>
      <c r="T1459" s="1418"/>
      <c r="U1459" s="1419"/>
      <c r="V1459" s="52"/>
    </row>
    <row r="1460" spans="1:22" s="141" customFormat="1" ht="18" customHeight="1">
      <c r="A1460" s="82"/>
      <c r="B1460" s="38"/>
      <c r="C1460" s="38"/>
      <c r="D1460" s="24">
        <v>4</v>
      </c>
      <c r="E1460" s="25" t="s">
        <v>844</v>
      </c>
      <c r="F1460" s="25"/>
      <c r="G1460" s="135"/>
      <c r="H1460" s="27"/>
      <c r="I1460" s="27"/>
      <c r="J1460" s="27"/>
      <c r="K1460" s="27"/>
      <c r="L1460" s="27"/>
      <c r="M1460" s="135"/>
      <c r="N1460" s="27"/>
      <c r="O1460" s="136"/>
      <c r="P1460" s="1429">
        <f>'5.LO'!E51</f>
        <v>0</v>
      </c>
      <c r="Q1460" s="1430"/>
      <c r="R1460" s="1430"/>
      <c r="S1460" s="1430"/>
      <c r="T1460" s="1430"/>
      <c r="U1460" s="1431"/>
      <c r="V1460" s="52"/>
    </row>
    <row r="1461" spans="1:22" s="141" customFormat="1" ht="26.25" customHeight="1">
      <c r="A1461" s="82"/>
      <c r="B1461" s="38"/>
      <c r="C1461" s="38"/>
      <c r="D1461" s="24"/>
      <c r="E1461" s="118"/>
      <c r="F1461" s="1122" t="s">
        <v>845</v>
      </c>
      <c r="G1461" s="1118"/>
      <c r="H1461" s="1118"/>
      <c r="I1461" s="1118"/>
      <c r="J1461" s="1118"/>
      <c r="K1461" s="1118"/>
      <c r="L1461" s="1118"/>
      <c r="M1461" s="1118"/>
      <c r="N1461" s="1118"/>
      <c r="O1461" s="1119"/>
      <c r="P1461" s="1429">
        <f>'5.LO'!E52</f>
        <v>0</v>
      </c>
      <c r="Q1461" s="1430"/>
      <c r="R1461" s="1430"/>
      <c r="S1461" s="1430"/>
      <c r="T1461" s="1430"/>
      <c r="U1461" s="1431"/>
      <c r="V1461" s="52"/>
    </row>
    <row r="1462" spans="1:22" s="141" customFormat="1" ht="18" customHeight="1">
      <c r="A1462" s="82"/>
      <c r="B1462" s="38"/>
      <c r="C1462" s="38"/>
      <c r="D1462" s="28"/>
      <c r="E1462" s="29"/>
      <c r="F1462" s="30" t="s">
        <v>846</v>
      </c>
      <c r="G1462" s="135"/>
      <c r="H1462" s="27"/>
      <c r="I1462" s="27"/>
      <c r="J1462" s="27"/>
      <c r="K1462" s="27"/>
      <c r="L1462" s="27"/>
      <c r="M1462" s="135"/>
      <c r="N1462" s="27"/>
      <c r="O1462" s="136"/>
      <c r="P1462" s="1417">
        <f>'5.LO'!E53</f>
        <v>0</v>
      </c>
      <c r="Q1462" s="1418"/>
      <c r="R1462" s="1418"/>
      <c r="S1462" s="1418"/>
      <c r="T1462" s="1418"/>
      <c r="U1462" s="1419"/>
      <c r="V1462" s="52"/>
    </row>
    <row r="1463" spans="1:22" s="141" customFormat="1" ht="27" customHeight="1">
      <c r="A1463" s="82"/>
      <c r="B1463" s="38"/>
      <c r="C1463" s="38"/>
      <c r="D1463" s="28"/>
      <c r="E1463" s="29"/>
      <c r="F1463" s="1117" t="s">
        <v>847</v>
      </c>
      <c r="G1463" s="1118"/>
      <c r="H1463" s="1118"/>
      <c r="I1463" s="1118"/>
      <c r="J1463" s="1118"/>
      <c r="K1463" s="1118"/>
      <c r="L1463" s="1118"/>
      <c r="M1463" s="1118"/>
      <c r="N1463" s="1118"/>
      <c r="O1463" s="1119"/>
      <c r="P1463" s="1417">
        <f>'5.LO'!E54</f>
        <v>0</v>
      </c>
      <c r="Q1463" s="1418"/>
      <c r="R1463" s="1418"/>
      <c r="S1463" s="1418"/>
      <c r="T1463" s="1418"/>
      <c r="U1463" s="1419"/>
      <c r="V1463" s="52"/>
    </row>
    <row r="1464" spans="1:22" s="141" customFormat="1" ht="18" customHeight="1">
      <c r="A1464" s="82"/>
      <c r="B1464" s="38"/>
      <c r="C1464" s="38"/>
      <c r="D1464" s="28"/>
      <c r="E1464" s="29"/>
      <c r="F1464" s="30" t="s">
        <v>848</v>
      </c>
      <c r="G1464" s="135"/>
      <c r="H1464" s="27"/>
      <c r="I1464" s="27"/>
      <c r="J1464" s="27"/>
      <c r="K1464" s="27"/>
      <c r="L1464" s="27"/>
      <c r="M1464" s="135"/>
      <c r="N1464" s="27"/>
      <c r="O1464" s="136"/>
      <c r="P1464" s="1417">
        <f>'5.LO'!E55</f>
        <v>0</v>
      </c>
      <c r="Q1464" s="1418"/>
      <c r="R1464" s="1418"/>
      <c r="S1464" s="1418"/>
      <c r="T1464" s="1418"/>
      <c r="U1464" s="1419"/>
      <c r="V1464" s="52"/>
    </row>
    <row r="1465" spans="1:22" s="141" customFormat="1" ht="18" customHeight="1">
      <c r="A1465" s="82"/>
      <c r="B1465" s="38"/>
      <c r="C1465" s="38"/>
      <c r="D1465" s="28"/>
      <c r="E1465" s="29"/>
      <c r="F1465" s="30" t="s">
        <v>849</v>
      </c>
      <c r="G1465" s="135"/>
      <c r="H1465" s="27"/>
      <c r="I1465" s="27"/>
      <c r="J1465" s="27"/>
      <c r="K1465" s="27"/>
      <c r="L1465" s="27"/>
      <c r="M1465" s="135"/>
      <c r="N1465" s="27"/>
      <c r="O1465" s="136"/>
      <c r="P1465" s="1417">
        <f>'5.LO'!E56</f>
        <v>0</v>
      </c>
      <c r="Q1465" s="1418"/>
      <c r="R1465" s="1418"/>
      <c r="S1465" s="1418"/>
      <c r="T1465" s="1418"/>
      <c r="U1465" s="1419"/>
      <c r="V1465" s="52"/>
    </row>
    <row r="1466" spans="1:22" s="141" customFormat="1" ht="18" customHeight="1">
      <c r="A1466" s="82"/>
      <c r="B1466" s="38"/>
      <c r="C1466" s="38"/>
      <c r="D1466" s="28"/>
      <c r="E1466" s="29"/>
      <c r="F1466" s="30" t="s">
        <v>850</v>
      </c>
      <c r="G1466" s="135"/>
      <c r="H1466" s="27"/>
      <c r="I1466" s="27"/>
      <c r="J1466" s="27"/>
      <c r="K1466" s="27"/>
      <c r="L1466" s="27"/>
      <c r="M1466" s="135"/>
      <c r="N1466" s="27"/>
      <c r="O1466" s="136"/>
      <c r="P1466" s="1417">
        <f>'5.LO'!E57</f>
        <v>0</v>
      </c>
      <c r="Q1466" s="1418"/>
      <c r="R1466" s="1418"/>
      <c r="S1466" s="1418"/>
      <c r="T1466" s="1418"/>
      <c r="U1466" s="1419"/>
      <c r="V1466" s="52"/>
    </row>
    <row r="1467" spans="1:22" s="141" customFormat="1" ht="18" customHeight="1">
      <c r="A1467" s="82"/>
      <c r="B1467" s="38"/>
      <c r="C1467" s="38"/>
      <c r="D1467" s="28"/>
      <c r="E1467" s="29"/>
      <c r="F1467" s="30" t="s">
        <v>851</v>
      </c>
      <c r="G1467" s="135"/>
      <c r="H1467" s="27"/>
      <c r="I1467" s="27"/>
      <c r="J1467" s="27"/>
      <c r="K1467" s="27"/>
      <c r="L1467" s="27"/>
      <c r="M1467" s="135"/>
      <c r="N1467" s="27"/>
      <c r="O1467" s="136"/>
      <c r="P1467" s="1417">
        <f>'5.LO'!E58</f>
        <v>0</v>
      </c>
      <c r="Q1467" s="1418"/>
      <c r="R1467" s="1418"/>
      <c r="S1467" s="1418"/>
      <c r="T1467" s="1418"/>
      <c r="U1467" s="1419"/>
      <c r="V1467" s="52"/>
    </row>
    <row r="1468" spans="1:22" s="141" customFormat="1" ht="18" customHeight="1">
      <c r="A1468" s="82"/>
      <c r="B1468" s="38"/>
      <c r="C1468" s="38"/>
      <c r="D1468" s="24"/>
      <c r="E1468" s="118"/>
      <c r="F1468" s="25" t="s">
        <v>852</v>
      </c>
      <c r="G1468" s="135"/>
      <c r="H1468" s="27"/>
      <c r="I1468" s="27"/>
      <c r="J1468" s="27"/>
      <c r="K1468" s="27"/>
      <c r="L1468" s="27"/>
      <c r="M1468" s="135"/>
      <c r="N1468" s="27"/>
      <c r="O1468" s="136"/>
      <c r="P1468" s="1429">
        <f>'5.LO'!E59</f>
        <v>0</v>
      </c>
      <c r="Q1468" s="1430"/>
      <c r="R1468" s="1430"/>
      <c r="S1468" s="1430"/>
      <c r="T1468" s="1430"/>
      <c r="U1468" s="1431"/>
      <c r="V1468" s="52"/>
    </row>
    <row r="1469" spans="1:22" s="141" customFormat="1" ht="18" customHeight="1">
      <c r="A1469" s="82"/>
      <c r="B1469" s="38"/>
      <c r="C1469" s="38"/>
      <c r="D1469" s="28"/>
      <c r="E1469" s="29"/>
      <c r="F1469" s="30" t="s">
        <v>853</v>
      </c>
      <c r="G1469" s="135"/>
      <c r="H1469" s="27"/>
      <c r="I1469" s="27"/>
      <c r="J1469" s="27"/>
      <c r="K1469" s="27"/>
      <c r="L1469" s="27"/>
      <c r="M1469" s="135"/>
      <c r="N1469" s="27"/>
      <c r="O1469" s="136"/>
      <c r="P1469" s="1417">
        <f>'5.LO'!E60</f>
        <v>0</v>
      </c>
      <c r="Q1469" s="1418"/>
      <c r="R1469" s="1418"/>
      <c r="S1469" s="1418"/>
      <c r="T1469" s="1418"/>
      <c r="U1469" s="1419"/>
      <c r="V1469" s="52"/>
    </row>
    <row r="1470" spans="1:22" s="141" customFormat="1" ht="18" customHeight="1">
      <c r="A1470" s="82"/>
      <c r="B1470" s="38"/>
      <c r="C1470" s="38"/>
      <c r="D1470" s="28"/>
      <c r="E1470" s="29"/>
      <c r="F1470" s="30" t="s">
        <v>854</v>
      </c>
      <c r="G1470" s="135"/>
      <c r="H1470" s="27"/>
      <c r="I1470" s="27"/>
      <c r="J1470" s="27"/>
      <c r="K1470" s="27"/>
      <c r="L1470" s="27"/>
      <c r="M1470" s="135"/>
      <c r="N1470" s="27"/>
      <c r="O1470" s="136"/>
      <c r="P1470" s="1417">
        <f>'5.LO'!E61</f>
        <v>0</v>
      </c>
      <c r="Q1470" s="1418"/>
      <c r="R1470" s="1418"/>
      <c r="S1470" s="1418"/>
      <c r="T1470" s="1418"/>
      <c r="U1470" s="1419"/>
      <c r="V1470" s="52"/>
    </row>
    <row r="1471" spans="1:22" s="141" customFormat="1" ht="18" customHeight="1">
      <c r="A1471" s="82"/>
      <c r="B1471" s="38"/>
      <c r="C1471" s="38"/>
      <c r="D1471" s="24"/>
      <c r="E1471" s="118"/>
      <c r="F1471" s="25" t="s">
        <v>855</v>
      </c>
      <c r="G1471" s="135"/>
      <c r="H1471" s="27"/>
      <c r="I1471" s="27"/>
      <c r="J1471" s="27"/>
      <c r="K1471" s="27"/>
      <c r="L1471" s="27"/>
      <c r="M1471" s="135"/>
      <c r="N1471" s="27"/>
      <c r="O1471" s="136"/>
      <c r="P1471" s="1429">
        <f>'5.LO'!E62</f>
        <v>0</v>
      </c>
      <c r="Q1471" s="1430"/>
      <c r="R1471" s="1430"/>
      <c r="S1471" s="1430"/>
      <c r="T1471" s="1430"/>
      <c r="U1471" s="1431"/>
      <c r="V1471" s="52"/>
    </row>
    <row r="1472" spans="1:22" s="141" customFormat="1" ht="18" customHeight="1">
      <c r="A1472" s="82"/>
      <c r="B1472" s="38"/>
      <c r="C1472" s="38"/>
      <c r="D1472" s="28"/>
      <c r="E1472" s="29"/>
      <c r="F1472" s="30" t="s">
        <v>856</v>
      </c>
      <c r="G1472" s="135"/>
      <c r="H1472" s="27"/>
      <c r="I1472" s="27"/>
      <c r="J1472" s="27"/>
      <c r="K1472" s="27"/>
      <c r="L1472" s="27"/>
      <c r="M1472" s="135"/>
      <c r="N1472" s="27"/>
      <c r="O1472" s="136"/>
      <c r="P1472" s="1417">
        <f>'5.LO'!E63</f>
        <v>0</v>
      </c>
      <c r="Q1472" s="1418"/>
      <c r="R1472" s="1418"/>
      <c r="S1472" s="1418"/>
      <c r="T1472" s="1418"/>
      <c r="U1472" s="1419"/>
      <c r="V1472" s="52"/>
    </row>
    <row r="1473" spans="1:22" s="141" customFormat="1" ht="18" customHeight="1">
      <c r="A1473" s="82"/>
      <c r="B1473" s="38"/>
      <c r="C1473" s="38"/>
      <c r="D1473" s="28"/>
      <c r="E1473" s="29"/>
      <c r="F1473" s="30" t="s">
        <v>857</v>
      </c>
      <c r="G1473" s="135"/>
      <c r="H1473" s="27"/>
      <c r="I1473" s="27"/>
      <c r="J1473" s="27"/>
      <c r="K1473" s="27"/>
      <c r="L1473" s="27"/>
      <c r="M1473" s="135"/>
      <c r="N1473" s="27"/>
      <c r="O1473" s="136"/>
      <c r="P1473" s="1417">
        <f>'5.LO'!E64</f>
        <v>0</v>
      </c>
      <c r="Q1473" s="1418"/>
      <c r="R1473" s="1418"/>
      <c r="S1473" s="1418"/>
      <c r="T1473" s="1418"/>
      <c r="U1473" s="1419"/>
      <c r="V1473" s="52"/>
    </row>
    <row r="1474" spans="1:22" s="141" customFormat="1" ht="18" customHeight="1">
      <c r="A1474" s="82"/>
      <c r="B1474" s="38"/>
      <c r="C1474" s="38"/>
      <c r="D1474" s="28"/>
      <c r="E1474" s="29"/>
      <c r="F1474" s="30" t="s">
        <v>858</v>
      </c>
      <c r="G1474" s="135"/>
      <c r="H1474" s="27"/>
      <c r="I1474" s="27"/>
      <c r="J1474" s="27"/>
      <c r="K1474" s="27"/>
      <c r="L1474" s="27"/>
      <c r="M1474" s="135"/>
      <c r="N1474" s="27"/>
      <c r="O1474" s="136"/>
      <c r="P1474" s="1417">
        <f>'5.LO'!E65</f>
        <v>0</v>
      </c>
      <c r="Q1474" s="1418"/>
      <c r="R1474" s="1418"/>
      <c r="S1474" s="1418"/>
      <c r="T1474" s="1418"/>
      <c r="U1474" s="1419"/>
      <c r="V1474" s="52"/>
    </row>
    <row r="1475" spans="1:22" s="141" customFormat="1" ht="18" customHeight="1">
      <c r="A1475" s="82"/>
      <c r="B1475" s="38"/>
      <c r="C1475" s="38"/>
      <c r="D1475" s="28"/>
      <c r="E1475" s="29"/>
      <c r="F1475" s="30" t="s">
        <v>859</v>
      </c>
      <c r="G1475" s="135"/>
      <c r="H1475" s="27"/>
      <c r="I1475" s="27"/>
      <c r="J1475" s="27"/>
      <c r="K1475" s="27"/>
      <c r="L1475" s="27"/>
      <c r="M1475" s="135"/>
      <c r="N1475" s="27"/>
      <c r="O1475" s="136"/>
      <c r="P1475" s="1417">
        <f>'5.LO'!E66</f>
        <v>0</v>
      </c>
      <c r="Q1475" s="1418"/>
      <c r="R1475" s="1418"/>
      <c r="S1475" s="1418"/>
      <c r="T1475" s="1418"/>
      <c r="U1475" s="1419"/>
      <c r="V1475" s="52"/>
    </row>
    <row r="1476" spans="1:22" s="141" customFormat="1" ht="18" customHeight="1">
      <c r="A1476" s="82"/>
      <c r="B1476" s="38"/>
      <c r="C1476" s="38"/>
      <c r="D1476" s="24"/>
      <c r="E1476" s="118"/>
      <c r="F1476" s="25" t="s">
        <v>860</v>
      </c>
      <c r="G1476" s="135"/>
      <c r="H1476" s="27"/>
      <c r="I1476" s="27"/>
      <c r="J1476" s="27"/>
      <c r="K1476" s="27"/>
      <c r="L1476" s="27"/>
      <c r="M1476" s="135"/>
      <c r="N1476" s="27"/>
      <c r="O1476" s="136"/>
      <c r="P1476" s="1429">
        <f>'5.LO'!E67</f>
        <v>0</v>
      </c>
      <c r="Q1476" s="1430"/>
      <c r="R1476" s="1430"/>
      <c r="S1476" s="1430"/>
      <c r="T1476" s="1430"/>
      <c r="U1476" s="1431"/>
      <c r="V1476" s="52"/>
    </row>
    <row r="1477" spans="1:22" s="141" customFormat="1" ht="18" customHeight="1">
      <c r="A1477" s="82"/>
      <c r="B1477" s="38"/>
      <c r="C1477" s="38"/>
      <c r="D1477" s="28"/>
      <c r="E1477" s="29"/>
      <c r="F1477" s="30" t="s">
        <v>861</v>
      </c>
      <c r="G1477" s="135"/>
      <c r="H1477" s="27"/>
      <c r="I1477" s="27"/>
      <c r="J1477" s="27"/>
      <c r="K1477" s="27"/>
      <c r="L1477" s="27"/>
      <c r="M1477" s="135"/>
      <c r="N1477" s="27"/>
      <c r="O1477" s="136"/>
      <c r="P1477" s="1417">
        <f>'5.LO'!E68</f>
        <v>0</v>
      </c>
      <c r="Q1477" s="1418"/>
      <c r="R1477" s="1418"/>
      <c r="S1477" s="1418"/>
      <c r="T1477" s="1418"/>
      <c r="U1477" s="1419"/>
      <c r="V1477" s="52"/>
    </row>
    <row r="1478" spans="1:22" s="141" customFormat="1" ht="18" customHeight="1">
      <c r="A1478" s="82"/>
      <c r="B1478" s="38"/>
      <c r="C1478" s="38"/>
      <c r="D1478" s="28"/>
      <c r="E1478" s="29"/>
      <c r="F1478" s="30" t="s">
        <v>862</v>
      </c>
      <c r="G1478" s="135"/>
      <c r="H1478" s="27"/>
      <c r="I1478" s="27"/>
      <c r="J1478" s="27"/>
      <c r="K1478" s="27"/>
      <c r="L1478" s="27"/>
      <c r="M1478" s="135"/>
      <c r="N1478" s="27"/>
      <c r="O1478" s="136"/>
      <c r="P1478" s="1417">
        <f>'5.LO'!E69</f>
        <v>0</v>
      </c>
      <c r="Q1478" s="1418"/>
      <c r="R1478" s="1418"/>
      <c r="S1478" s="1418"/>
      <c r="T1478" s="1418"/>
      <c r="U1478" s="1419"/>
      <c r="V1478" s="52"/>
    </row>
    <row r="1479" spans="1:22" s="141" customFormat="1" ht="27" customHeight="1">
      <c r="A1479" s="82"/>
      <c r="B1479" s="38"/>
      <c r="C1479" s="38"/>
      <c r="D1479" s="24"/>
      <c r="E1479" s="118"/>
      <c r="F1479" s="1122" t="s">
        <v>863</v>
      </c>
      <c r="G1479" s="1118"/>
      <c r="H1479" s="1118"/>
      <c r="I1479" s="1118"/>
      <c r="J1479" s="1118"/>
      <c r="K1479" s="1118"/>
      <c r="L1479" s="1118"/>
      <c r="M1479" s="1118"/>
      <c r="N1479" s="1118"/>
      <c r="O1479" s="1119"/>
      <c r="P1479" s="1429">
        <f>'5.LO'!E70</f>
        <v>0</v>
      </c>
      <c r="Q1479" s="1430"/>
      <c r="R1479" s="1430"/>
      <c r="S1479" s="1430"/>
      <c r="T1479" s="1430"/>
      <c r="U1479" s="1431"/>
      <c r="V1479" s="52"/>
    </row>
    <row r="1480" spans="1:22" s="141" customFormat="1" ht="18" customHeight="1">
      <c r="A1480" s="82"/>
      <c r="B1480" s="38"/>
      <c r="C1480" s="38"/>
      <c r="D1480" s="28"/>
      <c r="E1480" s="29"/>
      <c r="F1480" s="30" t="s">
        <v>864</v>
      </c>
      <c r="G1480" s="135"/>
      <c r="H1480" s="27"/>
      <c r="I1480" s="27"/>
      <c r="J1480" s="27"/>
      <c r="K1480" s="27"/>
      <c r="L1480" s="27"/>
      <c r="M1480" s="135"/>
      <c r="N1480" s="27"/>
      <c r="O1480" s="136"/>
      <c r="P1480" s="1417">
        <f>'5.LO'!E71</f>
        <v>0</v>
      </c>
      <c r="Q1480" s="1418"/>
      <c r="R1480" s="1418"/>
      <c r="S1480" s="1418"/>
      <c r="T1480" s="1418"/>
      <c r="U1480" s="1419"/>
      <c r="V1480" s="52"/>
    </row>
    <row r="1481" spans="1:22" s="141" customFormat="1" ht="18" customHeight="1">
      <c r="A1481" s="82"/>
      <c r="B1481" s="38"/>
      <c r="C1481" s="38"/>
      <c r="D1481" s="24"/>
      <c r="E1481" s="118"/>
      <c r="F1481" s="25" t="s">
        <v>865</v>
      </c>
      <c r="G1481" s="135"/>
      <c r="H1481" s="27"/>
      <c r="I1481" s="27"/>
      <c r="J1481" s="27"/>
      <c r="K1481" s="27"/>
      <c r="L1481" s="27"/>
      <c r="M1481" s="135"/>
      <c r="N1481" s="27"/>
      <c r="O1481" s="136"/>
      <c r="P1481" s="1429">
        <f>'5.LO'!E72</f>
        <v>0</v>
      </c>
      <c r="Q1481" s="1430"/>
      <c r="R1481" s="1430"/>
      <c r="S1481" s="1430"/>
      <c r="T1481" s="1430"/>
      <c r="U1481" s="1431"/>
      <c r="V1481" s="52"/>
    </row>
    <row r="1482" spans="1:22" s="141" customFormat="1" ht="18" customHeight="1">
      <c r="A1482" s="82"/>
      <c r="B1482" s="38"/>
      <c r="C1482" s="38"/>
      <c r="D1482" s="28"/>
      <c r="E1482" s="29"/>
      <c r="F1482" s="30" t="s">
        <v>866</v>
      </c>
      <c r="G1482" s="135"/>
      <c r="H1482" s="27"/>
      <c r="I1482" s="27"/>
      <c r="J1482" s="27"/>
      <c r="K1482" s="27"/>
      <c r="L1482" s="27"/>
      <c r="M1482" s="135"/>
      <c r="N1482" s="27"/>
      <c r="O1482" s="136"/>
      <c r="P1482" s="1417">
        <f>'5.LO'!E75</f>
        <v>0</v>
      </c>
      <c r="Q1482" s="1418"/>
      <c r="R1482" s="1418"/>
      <c r="S1482" s="1418"/>
      <c r="T1482" s="1418"/>
      <c r="U1482" s="1419"/>
      <c r="V1482" s="52"/>
    </row>
    <row r="1483" spans="1:22" s="141" customFormat="1" ht="18" customHeight="1">
      <c r="A1483" s="82"/>
      <c r="B1483" s="38"/>
      <c r="C1483" s="38"/>
      <c r="D1483" s="24"/>
      <c r="E1483" s="118"/>
      <c r="F1483" s="25" t="s">
        <v>867</v>
      </c>
      <c r="G1483" s="135"/>
      <c r="H1483" s="27"/>
      <c r="I1483" s="27"/>
      <c r="J1483" s="27"/>
      <c r="K1483" s="27"/>
      <c r="L1483" s="27"/>
      <c r="M1483" s="135"/>
      <c r="N1483" s="27"/>
      <c r="O1483" s="136"/>
      <c r="P1483" s="1429">
        <f>'5.LO'!E74</f>
        <v>0</v>
      </c>
      <c r="Q1483" s="1430"/>
      <c r="R1483" s="1430"/>
      <c r="S1483" s="1430"/>
      <c r="T1483" s="1430"/>
      <c r="U1483" s="1431"/>
      <c r="V1483" s="52"/>
    </row>
    <row r="1484" spans="1:22" s="141" customFormat="1" ht="18" customHeight="1">
      <c r="A1484" s="82"/>
      <c r="B1484" s="38"/>
      <c r="C1484" s="38"/>
      <c r="D1484" s="28"/>
      <c r="E1484" s="29"/>
      <c r="F1484" s="30" t="s">
        <v>868</v>
      </c>
      <c r="G1484" s="135"/>
      <c r="H1484" s="27"/>
      <c r="I1484" s="27"/>
      <c r="J1484" s="27"/>
      <c r="K1484" s="27"/>
      <c r="L1484" s="27"/>
      <c r="M1484" s="135"/>
      <c r="N1484" s="27"/>
      <c r="O1484" s="136"/>
      <c r="P1484" s="1417">
        <f>'5.LO'!E75</f>
        <v>0</v>
      </c>
      <c r="Q1484" s="1418"/>
      <c r="R1484" s="1418"/>
      <c r="S1484" s="1418"/>
      <c r="T1484" s="1418"/>
      <c r="U1484" s="1419"/>
      <c r="V1484" s="52"/>
    </row>
    <row r="1485" spans="1:22" s="141" customFormat="1" ht="18" customHeight="1">
      <c r="A1485" s="82"/>
      <c r="B1485" s="38"/>
      <c r="C1485" s="38"/>
      <c r="D1485" s="24"/>
      <c r="E1485" s="118"/>
      <c r="F1485" s="25" t="s">
        <v>869</v>
      </c>
      <c r="G1485" s="135"/>
      <c r="H1485" s="27"/>
      <c r="I1485" s="27"/>
      <c r="J1485" s="27"/>
      <c r="K1485" s="27"/>
      <c r="L1485" s="27"/>
      <c r="M1485" s="135"/>
      <c r="N1485" s="27"/>
      <c r="O1485" s="136"/>
      <c r="P1485" s="1429">
        <f>'5.LO'!E76</f>
        <v>0</v>
      </c>
      <c r="Q1485" s="1430"/>
      <c r="R1485" s="1430"/>
      <c r="S1485" s="1430"/>
      <c r="T1485" s="1430"/>
      <c r="U1485" s="1431"/>
      <c r="V1485" s="52"/>
    </row>
    <row r="1486" spans="1:22" s="141" customFormat="1" ht="18" customHeight="1">
      <c r="A1486" s="82"/>
      <c r="B1486" s="38"/>
      <c r="C1486" s="38"/>
      <c r="D1486" s="28"/>
      <c r="E1486" s="29"/>
      <c r="F1486" s="30" t="s">
        <v>870</v>
      </c>
      <c r="G1486" s="135"/>
      <c r="H1486" s="27"/>
      <c r="I1486" s="27"/>
      <c r="J1486" s="27"/>
      <c r="K1486" s="27"/>
      <c r="L1486" s="27"/>
      <c r="M1486" s="135"/>
      <c r="N1486" s="27"/>
      <c r="O1486" s="136"/>
      <c r="P1486" s="1417">
        <f>'5.LO'!E78</f>
        <v>0</v>
      </c>
      <c r="Q1486" s="1418"/>
      <c r="R1486" s="1418"/>
      <c r="S1486" s="1418"/>
      <c r="T1486" s="1418"/>
      <c r="U1486" s="1419"/>
      <c r="V1486" s="52"/>
    </row>
    <row r="1487" spans="1:22" s="141" customFormat="1" ht="18" customHeight="1">
      <c r="A1487" s="82"/>
      <c r="B1487" s="38"/>
      <c r="C1487" s="38"/>
      <c r="D1487" s="28"/>
      <c r="E1487" s="29"/>
      <c r="F1487" s="30" t="s">
        <v>871</v>
      </c>
      <c r="G1487" s="135"/>
      <c r="H1487" s="27"/>
      <c r="I1487" s="27"/>
      <c r="J1487" s="27"/>
      <c r="K1487" s="27"/>
      <c r="L1487" s="27"/>
      <c r="M1487" s="135"/>
      <c r="N1487" s="27"/>
      <c r="O1487" s="136"/>
      <c r="P1487" s="1417">
        <f>'5.LO'!E78</f>
        <v>0</v>
      </c>
      <c r="Q1487" s="1418"/>
      <c r="R1487" s="1418"/>
      <c r="S1487" s="1418"/>
      <c r="T1487" s="1418"/>
      <c r="U1487" s="1419"/>
      <c r="V1487" s="52"/>
    </row>
    <row r="1488" spans="1:22" s="141" customFormat="1" ht="18" customHeight="1">
      <c r="A1488" s="82"/>
      <c r="B1488" s="38"/>
      <c r="C1488" s="38"/>
      <c r="D1488" s="24"/>
      <c r="E1488" s="118"/>
      <c r="F1488" s="25" t="s">
        <v>872</v>
      </c>
      <c r="G1488" s="135"/>
      <c r="H1488" s="27"/>
      <c r="I1488" s="27"/>
      <c r="J1488" s="27"/>
      <c r="K1488" s="27"/>
      <c r="L1488" s="27"/>
      <c r="M1488" s="135"/>
      <c r="N1488" s="27"/>
      <c r="O1488" s="136"/>
      <c r="P1488" s="1429">
        <f>'5.LO'!E79</f>
        <v>0</v>
      </c>
      <c r="Q1488" s="1430"/>
      <c r="R1488" s="1430"/>
      <c r="S1488" s="1430"/>
      <c r="T1488" s="1430"/>
      <c r="U1488" s="1431"/>
      <c r="V1488" s="52"/>
    </row>
    <row r="1489" spans="1:22" s="141" customFormat="1" ht="18" customHeight="1">
      <c r="A1489" s="82"/>
      <c r="B1489" s="38"/>
      <c r="C1489" s="38"/>
      <c r="D1489" s="28"/>
      <c r="E1489" s="29"/>
      <c r="F1489" s="30" t="s">
        <v>872</v>
      </c>
      <c r="G1489" s="135"/>
      <c r="H1489" s="27"/>
      <c r="I1489" s="27"/>
      <c r="J1489" s="27"/>
      <c r="K1489" s="27"/>
      <c r="L1489" s="27"/>
      <c r="M1489" s="135"/>
      <c r="N1489" s="27"/>
      <c r="O1489" s="136"/>
      <c r="P1489" s="1417">
        <f>'5.LO'!E80</f>
        <v>0</v>
      </c>
      <c r="Q1489" s="1418"/>
      <c r="R1489" s="1418"/>
      <c r="S1489" s="1418"/>
      <c r="T1489" s="1418"/>
      <c r="U1489" s="1419"/>
      <c r="V1489" s="52"/>
    </row>
    <row r="1490" spans="1:22" s="141" customFormat="1" ht="18" customHeight="1">
      <c r="A1490" s="82"/>
      <c r="B1490" s="38"/>
      <c r="C1490" s="38"/>
      <c r="D1490" s="24"/>
      <c r="E1490" s="118"/>
      <c r="F1490" s="25" t="s">
        <v>20</v>
      </c>
      <c r="G1490" s="135"/>
      <c r="H1490" s="27"/>
      <c r="I1490" s="27"/>
      <c r="J1490" s="27"/>
      <c r="K1490" s="27"/>
      <c r="L1490" s="27"/>
      <c r="M1490" s="135"/>
      <c r="N1490" s="27"/>
      <c r="O1490" s="136"/>
      <c r="P1490" s="1429">
        <f>'5.LO'!E81</f>
        <v>0</v>
      </c>
      <c r="Q1490" s="1430"/>
      <c r="R1490" s="1430"/>
      <c r="S1490" s="1430"/>
      <c r="T1490" s="1430"/>
      <c r="U1490" s="1431"/>
      <c r="V1490" s="52"/>
    </row>
    <row r="1491" spans="1:22" s="141" customFormat="1" ht="18" customHeight="1">
      <c r="A1491" s="82"/>
      <c r="B1491" s="38"/>
      <c r="C1491" s="38"/>
      <c r="D1491" s="28"/>
      <c r="E1491" s="29"/>
      <c r="F1491" s="30" t="s">
        <v>873</v>
      </c>
      <c r="G1491" s="135"/>
      <c r="H1491" s="27"/>
      <c r="I1491" s="27"/>
      <c r="J1491" s="27"/>
      <c r="K1491" s="27"/>
      <c r="L1491" s="27"/>
      <c r="M1491" s="135"/>
      <c r="N1491" s="27"/>
      <c r="O1491" s="136"/>
      <c r="P1491" s="1417">
        <f>'5.LO'!E82</f>
        <v>0</v>
      </c>
      <c r="Q1491" s="1418"/>
      <c r="R1491" s="1418"/>
      <c r="S1491" s="1418"/>
      <c r="T1491" s="1418"/>
      <c r="U1491" s="1419"/>
      <c r="V1491" s="52"/>
    </row>
    <row r="1492" spans="1:22" s="141" customFormat="1" ht="18" customHeight="1">
      <c r="A1492" s="82"/>
      <c r="B1492" s="38"/>
      <c r="C1492" s="38"/>
      <c r="D1492" s="28"/>
      <c r="E1492" s="29"/>
      <c r="F1492" s="30" t="s">
        <v>874</v>
      </c>
      <c r="G1492" s="135"/>
      <c r="H1492" s="27"/>
      <c r="I1492" s="27"/>
      <c r="J1492" s="27"/>
      <c r="K1492" s="27"/>
      <c r="L1492" s="27"/>
      <c r="M1492" s="135"/>
      <c r="N1492" s="27"/>
      <c r="O1492" s="136"/>
      <c r="P1492" s="1417">
        <f>'5.LO'!E83</f>
        <v>0</v>
      </c>
      <c r="Q1492" s="1418"/>
      <c r="R1492" s="1418"/>
      <c r="S1492" s="1418"/>
      <c r="T1492" s="1418"/>
      <c r="U1492" s="1419"/>
      <c r="V1492" s="52"/>
    </row>
    <row r="1493" spans="1:22" s="141" customFormat="1" ht="36.75" customHeight="1">
      <c r="A1493" s="82"/>
      <c r="B1493" s="38"/>
      <c r="C1493" s="38"/>
      <c r="D1493" s="1665" t="s">
        <v>1178</v>
      </c>
      <c r="E1493" s="1666"/>
      <c r="F1493" s="1666"/>
      <c r="G1493" s="1666"/>
      <c r="H1493" s="1666"/>
      <c r="I1493" s="1666"/>
      <c r="J1493" s="1666"/>
      <c r="K1493" s="1666"/>
      <c r="L1493" s="1666"/>
      <c r="M1493" s="1666"/>
      <c r="N1493" s="1666"/>
      <c r="O1493" s="1667"/>
      <c r="P1493" s="1429">
        <f>P1417+P1428+P1449+P1460</f>
        <v>0</v>
      </c>
      <c r="Q1493" s="1430"/>
      <c r="R1493" s="1430"/>
      <c r="S1493" s="1430"/>
      <c r="T1493" s="1430"/>
      <c r="U1493" s="1431"/>
      <c r="V1493" s="52"/>
    </row>
    <row r="1494" spans="1:22" s="141" customFormat="1" ht="14.25" customHeight="1">
      <c r="A1494" s="82"/>
      <c r="B1494" s="38"/>
      <c r="C1494" s="38"/>
      <c r="D1494" s="1730" t="str">
        <f>"Pendapatan-LO SKPD "&amp;'2.ISIAN DATA SKPD'!D2&amp;" tersebut terdiri dari :"</f>
        <v>Pendapatan-LO SKPD Kecamatan Kaliwiro tersebut terdiri dari :</v>
      </c>
      <c r="E1494" s="1730"/>
      <c r="F1494" s="1730"/>
      <c r="G1494" s="1730"/>
      <c r="H1494" s="1730"/>
      <c r="I1494" s="1730"/>
      <c r="J1494" s="1730"/>
      <c r="K1494" s="1730"/>
      <c r="L1494" s="1730"/>
      <c r="M1494" s="1730"/>
      <c r="N1494" s="1730"/>
      <c r="O1494" s="1730"/>
      <c r="P1494" s="1730"/>
      <c r="Q1494" s="1730"/>
      <c r="R1494" s="1730"/>
      <c r="S1494" s="1730"/>
      <c r="T1494" s="1730"/>
      <c r="U1494" s="1730"/>
      <c r="V1494" s="52"/>
    </row>
    <row r="1495" spans="1:22" s="141" customFormat="1" ht="14.25" customHeight="1">
      <c r="A1495" s="82"/>
      <c r="B1495" s="38"/>
      <c r="C1495" s="38"/>
      <c r="D1495" s="702" t="s">
        <v>1602</v>
      </c>
      <c r="E1495" s="1226" t="s">
        <v>1509</v>
      </c>
      <c r="F1495" s="1226"/>
      <c r="G1495" s="1226"/>
      <c r="H1495" s="1226"/>
      <c r="I1495" s="1226"/>
      <c r="J1495" s="1226"/>
      <c r="K1495" s="1226"/>
      <c r="L1495" s="1226"/>
      <c r="M1495" s="1226"/>
      <c r="N1495" s="702" t="s">
        <v>1224</v>
      </c>
      <c r="O1495" s="1729">
        <v>0</v>
      </c>
      <c r="P1495" s="1729"/>
      <c r="Q1495" s="1729"/>
      <c r="R1495" s="1729"/>
      <c r="S1495" s="1729"/>
      <c r="T1495" s="1729"/>
      <c r="U1495" s="1729"/>
      <c r="V1495" s="52"/>
    </row>
    <row r="1496" spans="1:22" s="141" customFormat="1" ht="13.5" customHeight="1">
      <c r="A1496" s="82"/>
      <c r="B1496" s="38"/>
      <c r="C1496" s="38"/>
      <c r="D1496" s="702" t="s">
        <v>8</v>
      </c>
      <c r="E1496" s="1226" t="s">
        <v>1510</v>
      </c>
      <c r="F1496" s="1226"/>
      <c r="G1496" s="1226"/>
      <c r="H1496" s="1226"/>
      <c r="I1496" s="1226"/>
      <c r="J1496" s="1226"/>
      <c r="K1496" s="1226"/>
      <c r="L1496" s="1226"/>
      <c r="M1496" s="1226"/>
      <c r="N1496" s="702" t="s">
        <v>1224</v>
      </c>
      <c r="O1496" s="1729">
        <v>0</v>
      </c>
      <c r="P1496" s="1729"/>
      <c r="Q1496" s="1729"/>
      <c r="R1496" s="1729"/>
      <c r="S1496" s="1729"/>
      <c r="T1496" s="1729"/>
      <c r="U1496" s="1729"/>
      <c r="V1496" s="52"/>
    </row>
    <row r="1497" spans="1:22" s="141" customFormat="1" ht="16.5" customHeight="1">
      <c r="A1497" s="82"/>
      <c r="B1497" s="38"/>
      <c r="C1497" s="38"/>
      <c r="D1497" s="702" t="s">
        <v>781</v>
      </c>
      <c r="E1497" s="1226" t="s">
        <v>1511</v>
      </c>
      <c r="F1497" s="1226"/>
      <c r="G1497" s="1226"/>
      <c r="H1497" s="1226"/>
      <c r="I1497" s="1226"/>
      <c r="J1497" s="1226"/>
      <c r="K1497" s="1226"/>
      <c r="L1497" s="1226"/>
      <c r="M1497" s="1226"/>
      <c r="N1497" s="702" t="s">
        <v>1224</v>
      </c>
      <c r="O1497" s="1729">
        <v>0</v>
      </c>
      <c r="P1497" s="1729"/>
      <c r="Q1497" s="1729"/>
      <c r="R1497" s="1729"/>
      <c r="S1497" s="1729"/>
      <c r="T1497" s="1729"/>
      <c r="U1497" s="1729"/>
      <c r="V1497" s="52"/>
    </row>
    <row r="1498" spans="1:22" s="141" customFormat="1" ht="15.75" customHeight="1">
      <c r="A1498" s="82"/>
      <c r="B1498" s="38"/>
      <c r="C1498" s="38"/>
      <c r="D1498" s="702" t="s">
        <v>788</v>
      </c>
      <c r="E1498" s="1226" t="s">
        <v>1603</v>
      </c>
      <c r="F1498" s="1226"/>
      <c r="G1498" s="1226"/>
      <c r="H1498" s="1226"/>
      <c r="I1498" s="1226"/>
      <c r="J1498" s="1226"/>
      <c r="K1498" s="1226"/>
      <c r="L1498" s="1226"/>
      <c r="M1498" s="1226"/>
      <c r="N1498" s="702" t="s">
        <v>1224</v>
      </c>
      <c r="O1498" s="1729">
        <v>0</v>
      </c>
      <c r="P1498" s="1729"/>
      <c r="Q1498" s="1729"/>
      <c r="R1498" s="1729"/>
      <c r="S1498" s="1729"/>
      <c r="T1498" s="1729"/>
      <c r="U1498" s="1729"/>
      <c r="V1498" s="52"/>
    </row>
    <row r="1499" spans="1:22" s="141" customFormat="1" ht="15" customHeight="1">
      <c r="A1499" s="82"/>
      <c r="B1499" s="38"/>
      <c r="C1499" s="38"/>
      <c r="D1499" s="724"/>
      <c r="E1499" s="1524" t="s">
        <v>10</v>
      </c>
      <c r="F1499" s="1524"/>
      <c r="G1499" s="1524"/>
      <c r="H1499" s="1524"/>
      <c r="I1499" s="1524"/>
      <c r="J1499" s="1524"/>
      <c r="K1499" s="1524"/>
      <c r="L1499" s="1524"/>
      <c r="M1499" s="1524"/>
      <c r="N1499" s="724"/>
      <c r="O1499" s="1737">
        <f>SUM(O1495:U1498)</f>
        <v>0</v>
      </c>
      <c r="P1499" s="1737"/>
      <c r="Q1499" s="1737"/>
      <c r="R1499" s="1737"/>
      <c r="S1499" s="1737"/>
      <c r="T1499" s="1737"/>
      <c r="U1499" s="1737"/>
      <c r="V1499" s="52"/>
    </row>
    <row r="1500" spans="1:22" s="141" customFormat="1" ht="21.75" customHeight="1">
      <c r="A1500" s="82"/>
      <c r="B1500" s="38"/>
      <c r="C1500" s="795" t="s">
        <v>16</v>
      </c>
      <c r="D1500" s="1684" t="s">
        <v>228</v>
      </c>
      <c r="E1500" s="1684"/>
      <c r="F1500" s="1684"/>
      <c r="G1500" s="1684"/>
      <c r="H1500" s="1684"/>
      <c r="I1500" s="1684"/>
      <c r="J1500" s="1684"/>
      <c r="K1500" s="1684"/>
      <c r="L1500" s="1684"/>
      <c r="M1500" s="1684"/>
      <c r="N1500" s="1684"/>
      <c r="O1500" s="1684"/>
      <c r="P1500" s="1684"/>
      <c r="Q1500" s="1684"/>
      <c r="R1500" s="1684"/>
      <c r="S1500" s="1684"/>
      <c r="T1500" s="1684"/>
      <c r="U1500" s="1684"/>
      <c r="V1500" s="52"/>
    </row>
    <row r="1501" spans="1:22" s="141" customFormat="1" ht="96" customHeight="1">
      <c r="A1501" s="82"/>
      <c r="B1501" s="38"/>
      <c r="C1501" s="38"/>
      <c r="D1501" s="1091" t="str">
        <f>"Akun ini menggambarkan realisasi Pendapatan Transfer  untuk periode Tahun Anggaran "&amp;'2.ISIAN DATA SKPD'!D11&amp;" dan "&amp;'2.ISIAN DATA SKPD'!D12&amp;" dengan rincian jumlah sebagai berikut :"</f>
        <v>Akun ini menggambarkan realisasi Pendapatan Transfer  untuk periode Tahun Anggaran 2017 dan 2016 dengan rincian jumlah sebagai berikut :</v>
      </c>
      <c r="E1501" s="1091"/>
      <c r="F1501" s="1091"/>
      <c r="G1501" s="1091"/>
      <c r="H1501" s="1091"/>
      <c r="I1501" s="1091"/>
      <c r="J1501" s="1091"/>
      <c r="K1501" s="1091"/>
      <c r="L1501" s="1091"/>
      <c r="M1501" s="1091"/>
      <c r="N1501" s="1091"/>
      <c r="O1501" s="1091"/>
      <c r="P1501" s="1091"/>
      <c r="Q1501" s="1091"/>
      <c r="R1501" s="1091"/>
      <c r="S1501" s="1091"/>
      <c r="T1501" s="1091"/>
      <c r="U1501" s="1091"/>
      <c r="V1501" s="52"/>
    </row>
    <row r="1502" spans="1:22" s="141" customFormat="1" ht="6.75" customHeight="1">
      <c r="A1502" s="82"/>
      <c r="B1502" s="38"/>
      <c r="C1502" s="38"/>
      <c r="D1502" s="702"/>
      <c r="E1502" s="702"/>
      <c r="F1502" s="702"/>
      <c r="G1502" s="702"/>
      <c r="H1502" s="702"/>
      <c r="I1502" s="702"/>
      <c r="J1502" s="702"/>
      <c r="K1502" s="702"/>
      <c r="L1502" s="702"/>
      <c r="M1502" s="702"/>
      <c r="N1502" s="702"/>
      <c r="O1502" s="702"/>
      <c r="P1502" s="702"/>
      <c r="Q1502" s="702"/>
      <c r="R1502" s="702"/>
      <c r="S1502" s="702"/>
      <c r="T1502" s="702"/>
      <c r="U1502" s="702"/>
      <c r="V1502" s="52"/>
    </row>
    <row r="1503" spans="1:32" s="141" customFormat="1" ht="21.75" customHeight="1">
      <c r="A1503" s="1126" t="s">
        <v>9</v>
      </c>
      <c r="B1503" s="1127"/>
      <c r="C1503" s="1127"/>
      <c r="D1503" s="1127"/>
      <c r="E1503" s="1127"/>
      <c r="F1503" s="1127"/>
      <c r="G1503" s="1127"/>
      <c r="H1503" s="1128"/>
      <c r="I1503" s="1126" t="str">
        <f>G1398</f>
        <v>TA 2017</v>
      </c>
      <c r="J1503" s="1127"/>
      <c r="K1503" s="1127"/>
      <c r="L1503" s="1127"/>
      <c r="M1503" s="1127"/>
      <c r="N1503" s="1128"/>
      <c r="O1503" s="1126" t="str">
        <f>M1398</f>
        <v>TA 2016</v>
      </c>
      <c r="P1503" s="1127"/>
      <c r="Q1503" s="1127"/>
      <c r="R1503" s="1127"/>
      <c r="S1503" s="1127"/>
      <c r="T1503" s="1127"/>
      <c r="U1503" s="1128"/>
      <c r="V1503" s="1074"/>
      <c r="W1503" s="1073"/>
      <c r="X1503" s="1073"/>
      <c r="Y1503" s="1045" t="s">
        <v>1677</v>
      </c>
      <c r="Z1503" s="1073"/>
      <c r="AA1503" s="1073"/>
      <c r="AB1503" s="1073"/>
      <c r="AC1503" s="1085" t="s">
        <v>1676</v>
      </c>
      <c r="AD1503" s="1086"/>
      <c r="AE1503" s="1086"/>
      <c r="AF1503" s="1086"/>
    </row>
    <row r="1504" spans="1:32" s="141" customFormat="1" ht="31.5" customHeight="1">
      <c r="A1504" s="1734" t="s">
        <v>1600</v>
      </c>
      <c r="B1504" s="1735"/>
      <c r="C1504" s="1735"/>
      <c r="D1504" s="1735"/>
      <c r="E1504" s="1735"/>
      <c r="F1504" s="1735"/>
      <c r="G1504" s="1735"/>
      <c r="H1504" s="1736"/>
      <c r="I1504" s="1417">
        <f>'5.LO'!E86</f>
        <v>0</v>
      </c>
      <c r="J1504" s="1418"/>
      <c r="K1504" s="1418"/>
      <c r="L1504" s="1418"/>
      <c r="M1504" s="1418"/>
      <c r="N1504" s="1419"/>
      <c r="O1504" s="1417">
        <f>'5.LO'!F86</f>
        <v>0</v>
      </c>
      <c r="P1504" s="1418"/>
      <c r="Q1504" s="1418"/>
      <c r="R1504" s="1418"/>
      <c r="S1504" s="1418"/>
      <c r="T1504" s="1418"/>
      <c r="U1504" s="1419"/>
      <c r="V1504" s="1072"/>
      <c r="W1504" s="1073"/>
      <c r="X1504" s="1073"/>
      <c r="Y1504" s="1045" t="e">
        <f>(R1504-B1504)/B1504*100</f>
        <v>#DIV/0!</v>
      </c>
      <c r="Z1504" s="1073"/>
      <c r="AA1504" s="1073"/>
      <c r="AB1504" s="1073"/>
      <c r="AC1504" s="1045">
        <f>R1504-B1504</f>
        <v>0</v>
      </c>
      <c r="AD1504" s="1046"/>
      <c r="AE1504" s="1046"/>
      <c r="AF1504" s="1046"/>
    </row>
    <row r="1505" spans="1:32" s="141" customFormat="1" ht="33.75" customHeight="1">
      <c r="A1505" s="1731" t="s">
        <v>1601</v>
      </c>
      <c r="B1505" s="1732"/>
      <c r="C1505" s="1732"/>
      <c r="D1505" s="1732"/>
      <c r="E1505" s="1732"/>
      <c r="F1505" s="1732"/>
      <c r="G1505" s="1732"/>
      <c r="H1505" s="1733"/>
      <c r="I1505" s="1417">
        <f>'5.LO'!E121</f>
        <v>0</v>
      </c>
      <c r="J1505" s="1418"/>
      <c r="K1505" s="1418"/>
      <c r="L1505" s="1418"/>
      <c r="M1505" s="1418"/>
      <c r="N1505" s="1419"/>
      <c r="O1505" s="1417">
        <f>'5.LO'!F121</f>
        <v>0</v>
      </c>
      <c r="P1505" s="1418"/>
      <c r="Q1505" s="1418"/>
      <c r="R1505" s="1418"/>
      <c r="S1505" s="1418"/>
      <c r="T1505" s="1418"/>
      <c r="U1505" s="1419"/>
      <c r="V1505" s="1072"/>
      <c r="W1505" s="1073"/>
      <c r="X1505" s="1073"/>
      <c r="Y1505" s="1045" t="e">
        <f>(R1505-B1505)/B1505*100</f>
        <v>#DIV/0!</v>
      </c>
      <c r="Z1505" s="1073"/>
      <c r="AA1505" s="1073"/>
      <c r="AB1505" s="1073"/>
      <c r="AC1505" s="1045">
        <f>R1505-B1505</f>
        <v>0</v>
      </c>
      <c r="AD1505" s="1046"/>
      <c r="AE1505" s="1046"/>
      <c r="AF1505" s="1046"/>
    </row>
    <row r="1506" spans="1:32" s="141" customFormat="1" ht="21" customHeight="1">
      <c r="A1506" s="1761" t="s">
        <v>250</v>
      </c>
      <c r="B1506" s="1762"/>
      <c r="C1506" s="1762"/>
      <c r="D1506" s="1762"/>
      <c r="E1506" s="1762"/>
      <c r="F1506" s="1762"/>
      <c r="G1506" s="1762"/>
      <c r="H1506" s="1763"/>
      <c r="I1506" s="1417">
        <f>'5.LO'!E124</f>
        <v>0</v>
      </c>
      <c r="J1506" s="1418"/>
      <c r="K1506" s="1418"/>
      <c r="L1506" s="1418"/>
      <c r="M1506" s="1418"/>
      <c r="N1506" s="1419"/>
      <c r="O1506" s="1417">
        <f>'5.LO'!F124</f>
        <v>0</v>
      </c>
      <c r="P1506" s="1418"/>
      <c r="Q1506" s="1418"/>
      <c r="R1506" s="1418"/>
      <c r="S1506" s="1418"/>
      <c r="T1506" s="1418"/>
      <c r="U1506" s="1419"/>
      <c r="V1506" s="1072"/>
      <c r="W1506" s="1073"/>
      <c r="X1506" s="1073"/>
      <c r="Y1506" s="1045" t="e">
        <f>(R1506-B1506)/B1506*100</f>
        <v>#DIV/0!</v>
      </c>
      <c r="Z1506" s="1073"/>
      <c r="AA1506" s="1073"/>
      <c r="AB1506" s="1073"/>
      <c r="AC1506" s="1045">
        <f>R1506-B1506</f>
        <v>0</v>
      </c>
      <c r="AD1506" s="1046"/>
      <c r="AE1506" s="1046"/>
      <c r="AF1506" s="1046"/>
    </row>
    <row r="1507" spans="1:32" s="141" customFormat="1" ht="21.75" customHeight="1">
      <c r="A1507" s="1558" t="s">
        <v>10</v>
      </c>
      <c r="B1507" s="1595"/>
      <c r="C1507" s="1595"/>
      <c r="D1507" s="1595"/>
      <c r="E1507" s="1595"/>
      <c r="F1507" s="1595"/>
      <c r="G1507" s="1595"/>
      <c r="H1507" s="1596"/>
      <c r="I1507" s="1429">
        <f>SUM(I1504:R1506)</f>
        <v>0</v>
      </c>
      <c r="J1507" s="1430"/>
      <c r="K1507" s="1430"/>
      <c r="L1507" s="1430"/>
      <c r="M1507" s="1430"/>
      <c r="N1507" s="1431"/>
      <c r="O1507" s="1429">
        <f>SUM(O1504:U1506)</f>
        <v>0</v>
      </c>
      <c r="P1507" s="1430"/>
      <c r="Q1507" s="1430"/>
      <c r="R1507" s="1430"/>
      <c r="S1507" s="1430"/>
      <c r="T1507" s="1430"/>
      <c r="U1507" s="1431"/>
      <c r="V1507" s="1072"/>
      <c r="W1507" s="1073"/>
      <c r="X1507" s="1073"/>
      <c r="Y1507" s="1045" t="e">
        <f>(R1507-B1507)/B1507*100</f>
        <v>#DIV/0!</v>
      </c>
      <c r="Z1507" s="1073"/>
      <c r="AA1507" s="1073"/>
      <c r="AB1507" s="1073"/>
      <c r="AC1507" s="1045">
        <f>R1507-B1507</f>
        <v>0</v>
      </c>
      <c r="AD1507" s="1046"/>
      <c r="AE1507" s="1046"/>
      <c r="AF1507" s="1046"/>
    </row>
    <row r="1508" spans="1:22" s="141" customFormat="1" ht="30.75" customHeight="1">
      <c r="A1508" s="82"/>
      <c r="B1508" s="38"/>
      <c r="C1508" s="38"/>
      <c r="D1508" s="1091" t="str">
        <f>"Adapun rincian Pendapatan Transfer per "&amp;'2.ISIAN DATA SKPD'!D8&amp;" sebagaimana berikut :"</f>
        <v>Adapun rincian Pendapatan Transfer per 31 Desember 2017 sebagaimana berikut :</v>
      </c>
      <c r="E1508" s="1091"/>
      <c r="F1508" s="1091"/>
      <c r="G1508" s="1091"/>
      <c r="H1508" s="1091"/>
      <c r="I1508" s="1091"/>
      <c r="J1508" s="1091"/>
      <c r="K1508" s="1091"/>
      <c r="L1508" s="1091"/>
      <c r="M1508" s="1091"/>
      <c r="N1508" s="1091"/>
      <c r="O1508" s="1091"/>
      <c r="P1508" s="1091"/>
      <c r="Q1508" s="1091"/>
      <c r="R1508" s="1091"/>
      <c r="S1508" s="1091"/>
      <c r="T1508" s="1091"/>
      <c r="U1508" s="1091"/>
      <c r="V1508" s="52"/>
    </row>
    <row r="1509" spans="1:22" s="141" customFormat="1" ht="18.75" customHeight="1">
      <c r="A1509" s="82"/>
      <c r="B1509" s="38"/>
      <c r="C1509" s="38"/>
      <c r="D1509" s="24" t="s">
        <v>126</v>
      </c>
      <c r="E1509" s="1680" t="s">
        <v>245</v>
      </c>
      <c r="F1509" s="1681"/>
      <c r="G1509" s="1681"/>
      <c r="H1509" s="1681"/>
      <c r="I1509" s="1681"/>
      <c r="J1509" s="1681"/>
      <c r="K1509" s="1681"/>
      <c r="L1509" s="1681"/>
      <c r="M1509" s="1681"/>
      <c r="N1509" s="1681"/>
      <c r="O1509" s="1682"/>
      <c r="P1509" s="1236" t="s">
        <v>10</v>
      </c>
      <c r="Q1509" s="1237"/>
      <c r="R1509" s="1237"/>
      <c r="S1509" s="1237"/>
      <c r="T1509" s="1237"/>
      <c r="U1509" s="1238"/>
      <c r="V1509" s="52"/>
    </row>
    <row r="1510" spans="1:22" s="141" customFormat="1" ht="18" customHeight="1">
      <c r="A1510" s="82"/>
      <c r="B1510" s="38"/>
      <c r="C1510" s="38"/>
      <c r="D1510" s="117">
        <v>1</v>
      </c>
      <c r="E1510" s="1433" t="s">
        <v>1177</v>
      </c>
      <c r="F1510" s="1122"/>
      <c r="G1510" s="1122"/>
      <c r="H1510" s="1122"/>
      <c r="I1510" s="1122"/>
      <c r="J1510" s="1122"/>
      <c r="K1510" s="1122"/>
      <c r="L1510" s="1122"/>
      <c r="M1510" s="1122"/>
      <c r="N1510" s="1122"/>
      <c r="O1510" s="1434"/>
      <c r="P1510" s="1628">
        <f>'5.LO'!E86</f>
        <v>0</v>
      </c>
      <c r="Q1510" s="1629"/>
      <c r="R1510" s="1629"/>
      <c r="S1510" s="1629"/>
      <c r="T1510" s="1629"/>
      <c r="U1510" s="1630"/>
      <c r="V1510" s="52"/>
    </row>
    <row r="1511" spans="1:22" s="141" customFormat="1" ht="13.5" customHeight="1">
      <c r="A1511" s="82"/>
      <c r="B1511" s="38"/>
      <c r="C1511" s="38"/>
      <c r="D1511" s="117"/>
      <c r="E1511" s="16" t="s">
        <v>875</v>
      </c>
      <c r="F1511" s="139"/>
      <c r="G1511" s="135"/>
      <c r="H1511" s="27"/>
      <c r="I1511" s="27"/>
      <c r="J1511" s="27"/>
      <c r="K1511" s="27"/>
      <c r="L1511" s="27"/>
      <c r="M1511" s="135"/>
      <c r="N1511" s="27"/>
      <c r="O1511" s="136"/>
      <c r="P1511" s="1628">
        <f>'5.LO'!E87</f>
        <v>0</v>
      </c>
      <c r="Q1511" s="1629"/>
      <c r="R1511" s="1629"/>
      <c r="S1511" s="1629"/>
      <c r="T1511" s="1629"/>
      <c r="U1511" s="1630"/>
      <c r="V1511" s="52"/>
    </row>
    <row r="1512" spans="1:22" s="141" customFormat="1" ht="13.5" customHeight="1">
      <c r="A1512" s="82"/>
      <c r="B1512" s="38"/>
      <c r="C1512" s="38"/>
      <c r="D1512" s="117"/>
      <c r="E1512" s="23" t="s">
        <v>876</v>
      </c>
      <c r="F1512" s="139"/>
      <c r="G1512" s="135"/>
      <c r="H1512" s="27"/>
      <c r="I1512" s="27"/>
      <c r="J1512" s="27"/>
      <c r="K1512" s="27"/>
      <c r="L1512" s="27"/>
      <c r="M1512" s="135"/>
      <c r="N1512" s="27"/>
      <c r="O1512" s="136"/>
      <c r="P1512" s="1304">
        <f>'5.LO'!E88</f>
        <v>0</v>
      </c>
      <c r="Q1512" s="1305"/>
      <c r="R1512" s="1305"/>
      <c r="S1512" s="1305"/>
      <c r="T1512" s="1305"/>
      <c r="U1512" s="1306"/>
      <c r="V1512" s="52"/>
    </row>
    <row r="1513" spans="1:22" s="141" customFormat="1" ht="38.25" customHeight="1">
      <c r="A1513" s="82"/>
      <c r="B1513" s="38"/>
      <c r="C1513" s="38"/>
      <c r="D1513" s="117"/>
      <c r="E1513" s="1619" t="s">
        <v>1230</v>
      </c>
      <c r="F1513" s="1117"/>
      <c r="G1513" s="1117"/>
      <c r="H1513" s="1117"/>
      <c r="I1513" s="1117"/>
      <c r="J1513" s="1117"/>
      <c r="K1513" s="1117"/>
      <c r="L1513" s="1117"/>
      <c r="M1513" s="1117"/>
      <c r="N1513" s="1117"/>
      <c r="O1513" s="1424"/>
      <c r="P1513" s="1304">
        <f>'5.LO'!E89</f>
        <v>0</v>
      </c>
      <c r="Q1513" s="1305"/>
      <c r="R1513" s="1305"/>
      <c r="S1513" s="1305"/>
      <c r="T1513" s="1305"/>
      <c r="U1513" s="1306"/>
      <c r="V1513" s="52"/>
    </row>
    <row r="1514" spans="1:22" s="141" customFormat="1" ht="13.5" customHeight="1">
      <c r="A1514" s="82"/>
      <c r="B1514" s="38"/>
      <c r="C1514" s="38"/>
      <c r="D1514" s="117"/>
      <c r="E1514" s="23" t="s">
        <v>878</v>
      </c>
      <c r="F1514" s="139"/>
      <c r="G1514" s="135"/>
      <c r="H1514" s="27"/>
      <c r="I1514" s="27"/>
      <c r="J1514" s="27"/>
      <c r="K1514" s="27"/>
      <c r="L1514" s="27"/>
      <c r="M1514" s="135"/>
      <c r="N1514" s="27"/>
      <c r="O1514" s="136"/>
      <c r="P1514" s="1304">
        <v>0</v>
      </c>
      <c r="Q1514" s="1305"/>
      <c r="R1514" s="1305"/>
      <c r="S1514" s="1305"/>
      <c r="T1514" s="1305"/>
      <c r="U1514" s="1306"/>
      <c r="V1514" s="52"/>
    </row>
    <row r="1515" spans="1:22" s="141" customFormat="1" ht="13.5" customHeight="1">
      <c r="A1515" s="82"/>
      <c r="B1515" s="38"/>
      <c r="C1515" s="38"/>
      <c r="D1515" s="117"/>
      <c r="E1515" s="16" t="s">
        <v>879</v>
      </c>
      <c r="F1515" s="139"/>
      <c r="G1515" s="135"/>
      <c r="H1515" s="27"/>
      <c r="I1515" s="27"/>
      <c r="J1515" s="27"/>
      <c r="K1515" s="27"/>
      <c r="L1515" s="27"/>
      <c r="M1515" s="135"/>
      <c r="N1515" s="27"/>
      <c r="O1515" s="136"/>
      <c r="P1515" s="1628">
        <f>'5.LO'!E91</f>
        <v>0</v>
      </c>
      <c r="Q1515" s="1629"/>
      <c r="R1515" s="1629"/>
      <c r="S1515" s="1629"/>
      <c r="T1515" s="1629"/>
      <c r="U1515" s="1630"/>
      <c r="V1515" s="52"/>
    </row>
    <row r="1516" spans="1:22" s="141" customFormat="1" ht="13.5" customHeight="1">
      <c r="A1516" s="82"/>
      <c r="B1516" s="38"/>
      <c r="C1516" s="38"/>
      <c r="D1516" s="117"/>
      <c r="E1516" s="23" t="s">
        <v>880</v>
      </c>
      <c r="F1516" s="139"/>
      <c r="G1516" s="135"/>
      <c r="H1516" s="27"/>
      <c r="I1516" s="27"/>
      <c r="J1516" s="27"/>
      <c r="K1516" s="27"/>
      <c r="L1516" s="27"/>
      <c r="M1516" s="135"/>
      <c r="N1516" s="27"/>
      <c r="O1516" s="136"/>
      <c r="P1516" s="1304">
        <f>'5.LO'!E92</f>
        <v>0</v>
      </c>
      <c r="Q1516" s="1305"/>
      <c r="R1516" s="1305"/>
      <c r="S1516" s="1305"/>
      <c r="T1516" s="1305"/>
      <c r="U1516" s="1306"/>
      <c r="V1516" s="52"/>
    </row>
    <row r="1517" spans="1:22" s="141" customFormat="1" ht="13.5" customHeight="1">
      <c r="A1517" s="82"/>
      <c r="B1517" s="38"/>
      <c r="C1517" s="38"/>
      <c r="D1517" s="117"/>
      <c r="E1517" s="23" t="s">
        <v>881</v>
      </c>
      <c r="F1517" s="139"/>
      <c r="G1517" s="135"/>
      <c r="H1517" s="27"/>
      <c r="I1517" s="27"/>
      <c r="J1517" s="27"/>
      <c r="K1517" s="27"/>
      <c r="L1517" s="27"/>
      <c r="M1517" s="135"/>
      <c r="N1517" s="27"/>
      <c r="O1517" s="136"/>
      <c r="P1517" s="1304">
        <f>'5.LO'!E93</f>
        <v>0</v>
      </c>
      <c r="Q1517" s="1305"/>
      <c r="R1517" s="1305"/>
      <c r="S1517" s="1305"/>
      <c r="T1517" s="1305"/>
      <c r="U1517" s="1306"/>
      <c r="V1517" s="52"/>
    </row>
    <row r="1518" spans="1:22" s="141" customFormat="1" ht="13.5" customHeight="1">
      <c r="A1518" s="82"/>
      <c r="B1518" s="38"/>
      <c r="C1518" s="38"/>
      <c r="D1518" s="117"/>
      <c r="E1518" s="23" t="s">
        <v>882</v>
      </c>
      <c r="F1518" s="139"/>
      <c r="G1518" s="135"/>
      <c r="H1518" s="27"/>
      <c r="I1518" s="27"/>
      <c r="J1518" s="27"/>
      <c r="K1518" s="27"/>
      <c r="L1518" s="27"/>
      <c r="M1518" s="135"/>
      <c r="N1518" s="27"/>
      <c r="O1518" s="136"/>
      <c r="P1518" s="1304">
        <f>'5.LO'!E94</f>
        <v>0</v>
      </c>
      <c r="Q1518" s="1305"/>
      <c r="R1518" s="1305"/>
      <c r="S1518" s="1305"/>
      <c r="T1518" s="1305"/>
      <c r="U1518" s="1306"/>
      <c r="V1518" s="52"/>
    </row>
    <row r="1519" spans="1:22" s="141" customFormat="1" ht="13.5" customHeight="1">
      <c r="A1519" s="82"/>
      <c r="B1519" s="38"/>
      <c r="C1519" s="38"/>
      <c r="D1519" s="117"/>
      <c r="E1519" s="23" t="s">
        <v>883</v>
      </c>
      <c r="F1519" s="139"/>
      <c r="G1519" s="135"/>
      <c r="H1519" s="27"/>
      <c r="I1519" s="27"/>
      <c r="J1519" s="27"/>
      <c r="K1519" s="27"/>
      <c r="L1519" s="27"/>
      <c r="M1519" s="135"/>
      <c r="N1519" s="27"/>
      <c r="O1519" s="136"/>
      <c r="P1519" s="1304">
        <f>'5.LO'!E95</f>
        <v>0</v>
      </c>
      <c r="Q1519" s="1305"/>
      <c r="R1519" s="1305"/>
      <c r="S1519" s="1305"/>
      <c r="T1519" s="1305"/>
      <c r="U1519" s="1306"/>
      <c r="V1519" s="52"/>
    </row>
    <row r="1520" spans="1:22" s="141" customFormat="1" ht="13.5" customHeight="1">
      <c r="A1520" s="82"/>
      <c r="B1520" s="38"/>
      <c r="C1520" s="38"/>
      <c r="D1520" s="117"/>
      <c r="E1520" s="23" t="s">
        <v>884</v>
      </c>
      <c r="F1520" s="139"/>
      <c r="G1520" s="135"/>
      <c r="H1520" s="27"/>
      <c r="I1520" s="27"/>
      <c r="J1520" s="27"/>
      <c r="K1520" s="27"/>
      <c r="L1520" s="27"/>
      <c r="M1520" s="135"/>
      <c r="N1520" s="27"/>
      <c r="O1520" s="136"/>
      <c r="P1520" s="1304">
        <f>'5.LO'!E96</f>
        <v>0</v>
      </c>
      <c r="Q1520" s="1305"/>
      <c r="R1520" s="1305"/>
      <c r="S1520" s="1305"/>
      <c r="T1520" s="1305"/>
      <c r="U1520" s="1306"/>
      <c r="V1520" s="52"/>
    </row>
    <row r="1521" spans="1:22" s="141" customFormat="1" ht="13.5" customHeight="1">
      <c r="A1521" s="82"/>
      <c r="B1521" s="38"/>
      <c r="C1521" s="38"/>
      <c r="D1521" s="117"/>
      <c r="E1521" s="23" t="s">
        <v>878</v>
      </c>
      <c r="F1521" s="139"/>
      <c r="G1521" s="131"/>
      <c r="H1521" s="26"/>
      <c r="I1521" s="26"/>
      <c r="J1521" s="26"/>
      <c r="K1521" s="26"/>
      <c r="L1521" s="26"/>
      <c r="M1521" s="131"/>
      <c r="N1521" s="26"/>
      <c r="O1521" s="132"/>
      <c r="P1521" s="1304">
        <f>'5.LO'!E97</f>
        <v>0</v>
      </c>
      <c r="Q1521" s="1305"/>
      <c r="R1521" s="1305"/>
      <c r="S1521" s="1305"/>
      <c r="T1521" s="1305"/>
      <c r="U1521" s="1306"/>
      <c r="V1521" s="52"/>
    </row>
    <row r="1522" spans="1:22" s="141" customFormat="1" ht="13.5" customHeight="1">
      <c r="A1522" s="82"/>
      <c r="B1522" s="38"/>
      <c r="C1522" s="38"/>
      <c r="D1522" s="117"/>
      <c r="E1522" s="23" t="s">
        <v>885</v>
      </c>
      <c r="F1522" s="139"/>
      <c r="G1522" s="135"/>
      <c r="H1522" s="27"/>
      <c r="I1522" s="27"/>
      <c r="J1522" s="27"/>
      <c r="K1522" s="27"/>
      <c r="L1522" s="27"/>
      <c r="M1522" s="135"/>
      <c r="N1522" s="27"/>
      <c r="O1522" s="136"/>
      <c r="P1522" s="1304">
        <f>'5.LO'!E98</f>
        <v>0</v>
      </c>
      <c r="Q1522" s="1305"/>
      <c r="R1522" s="1305"/>
      <c r="S1522" s="1305"/>
      <c r="T1522" s="1305"/>
      <c r="U1522" s="1306"/>
      <c r="V1522" s="52"/>
    </row>
    <row r="1523" spans="1:22" s="141" customFormat="1" ht="13.5" customHeight="1">
      <c r="A1523" s="82"/>
      <c r="B1523" s="38"/>
      <c r="C1523" s="38"/>
      <c r="D1523" s="31"/>
      <c r="E1523" s="16" t="s">
        <v>793</v>
      </c>
      <c r="F1523" s="139"/>
      <c r="G1523" s="135"/>
      <c r="H1523" s="27"/>
      <c r="I1523" s="27"/>
      <c r="J1523" s="27"/>
      <c r="K1523" s="27"/>
      <c r="L1523" s="27"/>
      <c r="M1523" s="135"/>
      <c r="N1523" s="27"/>
      <c r="O1523" s="136"/>
      <c r="P1523" s="1628">
        <f>'5.LO'!E99</f>
        <v>0</v>
      </c>
      <c r="Q1523" s="1629"/>
      <c r="R1523" s="1629"/>
      <c r="S1523" s="1629"/>
      <c r="T1523" s="1629"/>
      <c r="U1523" s="1630"/>
      <c r="V1523" s="52"/>
    </row>
    <row r="1524" spans="1:22" s="141" customFormat="1" ht="13.5" customHeight="1">
      <c r="A1524" s="82"/>
      <c r="B1524" s="38"/>
      <c r="C1524" s="38"/>
      <c r="D1524" s="31"/>
      <c r="E1524" s="23" t="s">
        <v>793</v>
      </c>
      <c r="F1524" s="139"/>
      <c r="G1524" s="135"/>
      <c r="H1524" s="27"/>
      <c r="I1524" s="27"/>
      <c r="J1524" s="27"/>
      <c r="K1524" s="27"/>
      <c r="L1524" s="27"/>
      <c r="M1524" s="135"/>
      <c r="N1524" s="27"/>
      <c r="O1524" s="136"/>
      <c r="P1524" s="1304">
        <f>'5.LO'!E100</f>
        <v>0</v>
      </c>
      <c r="Q1524" s="1305"/>
      <c r="R1524" s="1305"/>
      <c r="S1524" s="1305"/>
      <c r="T1524" s="1305"/>
      <c r="U1524" s="1306"/>
      <c r="V1524" s="52"/>
    </row>
    <row r="1525" spans="1:22" s="141" customFormat="1" ht="13.5" customHeight="1">
      <c r="A1525" s="82"/>
      <c r="B1525" s="38"/>
      <c r="C1525" s="38"/>
      <c r="D1525" s="31"/>
      <c r="E1525" s="16" t="s">
        <v>794</v>
      </c>
      <c r="F1525" s="139"/>
      <c r="G1525" s="135"/>
      <c r="H1525" s="27"/>
      <c r="I1525" s="27"/>
      <c r="J1525" s="27"/>
      <c r="K1525" s="27"/>
      <c r="L1525" s="27"/>
      <c r="M1525" s="135"/>
      <c r="N1525" s="27"/>
      <c r="O1525" s="136"/>
      <c r="P1525" s="1628">
        <f>'5.LO'!E101</f>
        <v>0</v>
      </c>
      <c r="Q1525" s="1629"/>
      <c r="R1525" s="1629"/>
      <c r="S1525" s="1629"/>
      <c r="T1525" s="1629"/>
      <c r="U1525" s="1630"/>
      <c r="V1525" s="52"/>
    </row>
    <row r="1526" spans="1:22" s="141" customFormat="1" ht="13.5" customHeight="1">
      <c r="A1526" s="82"/>
      <c r="B1526" s="38"/>
      <c r="C1526" s="38"/>
      <c r="D1526" s="31"/>
      <c r="E1526" s="22" t="s">
        <v>886</v>
      </c>
      <c r="F1526" s="139"/>
      <c r="G1526" s="135"/>
      <c r="H1526" s="27"/>
      <c r="I1526" s="27"/>
      <c r="J1526" s="27"/>
      <c r="K1526" s="27"/>
      <c r="L1526" s="27"/>
      <c r="M1526" s="135"/>
      <c r="N1526" s="27"/>
      <c r="O1526" s="136"/>
      <c r="P1526" s="1628">
        <f>'5.LO'!E102</f>
        <v>0</v>
      </c>
      <c r="Q1526" s="1629"/>
      <c r="R1526" s="1629"/>
      <c r="S1526" s="1629"/>
      <c r="T1526" s="1629"/>
      <c r="U1526" s="1630"/>
      <c r="V1526" s="52"/>
    </row>
    <row r="1527" spans="1:22" s="141" customFormat="1" ht="13.5" customHeight="1">
      <c r="A1527" s="82"/>
      <c r="B1527" s="38"/>
      <c r="C1527" s="38"/>
      <c r="D1527" s="31"/>
      <c r="E1527" s="23" t="s">
        <v>887</v>
      </c>
      <c r="F1527" s="139"/>
      <c r="G1527" s="135"/>
      <c r="H1527" s="27"/>
      <c r="I1527" s="27"/>
      <c r="J1527" s="27"/>
      <c r="K1527" s="27"/>
      <c r="L1527" s="27"/>
      <c r="M1527" s="135"/>
      <c r="N1527" s="27"/>
      <c r="O1527" s="136"/>
      <c r="P1527" s="1304">
        <f>'5.LO'!E103</f>
        <v>0</v>
      </c>
      <c r="Q1527" s="1305"/>
      <c r="R1527" s="1305"/>
      <c r="S1527" s="1305"/>
      <c r="T1527" s="1305"/>
      <c r="U1527" s="1306"/>
      <c r="V1527" s="52"/>
    </row>
    <row r="1528" spans="1:22" s="141" customFormat="1" ht="13.5" customHeight="1">
      <c r="A1528" s="82"/>
      <c r="B1528" s="38"/>
      <c r="C1528" s="38"/>
      <c r="D1528" s="31"/>
      <c r="E1528" s="23" t="s">
        <v>888</v>
      </c>
      <c r="F1528" s="139"/>
      <c r="G1528" s="135"/>
      <c r="H1528" s="27"/>
      <c r="I1528" s="27"/>
      <c r="J1528" s="27"/>
      <c r="K1528" s="27"/>
      <c r="L1528" s="27"/>
      <c r="M1528" s="135"/>
      <c r="N1528" s="27"/>
      <c r="O1528" s="136"/>
      <c r="P1528" s="1304">
        <f>'5.LO'!E104</f>
        <v>0</v>
      </c>
      <c r="Q1528" s="1305"/>
      <c r="R1528" s="1305"/>
      <c r="S1528" s="1305"/>
      <c r="T1528" s="1305"/>
      <c r="U1528" s="1306"/>
      <c r="V1528" s="52"/>
    </row>
    <row r="1529" spans="1:22" s="141" customFormat="1" ht="13.5" customHeight="1">
      <c r="A1529" s="82"/>
      <c r="B1529" s="38"/>
      <c r="C1529" s="38"/>
      <c r="D1529" s="31"/>
      <c r="E1529" s="23" t="s">
        <v>889</v>
      </c>
      <c r="F1529" s="139"/>
      <c r="G1529" s="135"/>
      <c r="H1529" s="27"/>
      <c r="I1529" s="27"/>
      <c r="J1529" s="27"/>
      <c r="K1529" s="27"/>
      <c r="L1529" s="27"/>
      <c r="M1529" s="135"/>
      <c r="N1529" s="27"/>
      <c r="O1529" s="136"/>
      <c r="P1529" s="1304">
        <f>'5.LO'!E105</f>
        <v>0</v>
      </c>
      <c r="Q1529" s="1305"/>
      <c r="R1529" s="1305"/>
      <c r="S1529" s="1305"/>
      <c r="T1529" s="1305"/>
      <c r="U1529" s="1306"/>
      <c r="V1529" s="52"/>
    </row>
    <row r="1530" spans="1:22" s="141" customFormat="1" ht="13.5" customHeight="1">
      <c r="A1530" s="82"/>
      <c r="B1530" s="38"/>
      <c r="C1530" s="38"/>
      <c r="D1530" s="140"/>
      <c r="E1530" s="23" t="s">
        <v>890</v>
      </c>
      <c r="F1530" s="139"/>
      <c r="G1530" s="135"/>
      <c r="H1530" s="27"/>
      <c r="I1530" s="27"/>
      <c r="J1530" s="27"/>
      <c r="K1530" s="27"/>
      <c r="L1530" s="27"/>
      <c r="M1530" s="135"/>
      <c r="N1530" s="27"/>
      <c r="O1530" s="136"/>
      <c r="P1530" s="1304">
        <f>'5.LO'!E106</f>
        <v>0</v>
      </c>
      <c r="Q1530" s="1305"/>
      <c r="R1530" s="1305"/>
      <c r="S1530" s="1305"/>
      <c r="T1530" s="1305"/>
      <c r="U1530" s="1306"/>
      <c r="V1530" s="52"/>
    </row>
    <row r="1531" spans="1:22" s="141" customFormat="1" ht="13.5" customHeight="1">
      <c r="A1531" s="82"/>
      <c r="B1531" s="38"/>
      <c r="C1531" s="38"/>
      <c r="D1531" s="31"/>
      <c r="E1531" s="23" t="s">
        <v>891</v>
      </c>
      <c r="F1531" s="139"/>
      <c r="G1531" s="135"/>
      <c r="H1531" s="27"/>
      <c r="I1531" s="27"/>
      <c r="J1531" s="27"/>
      <c r="K1531" s="27"/>
      <c r="L1531" s="27"/>
      <c r="M1531" s="135"/>
      <c r="N1531" s="27"/>
      <c r="O1531" s="136"/>
      <c r="P1531" s="1304">
        <f>'5.LO'!E107</f>
        <v>0</v>
      </c>
      <c r="Q1531" s="1305"/>
      <c r="R1531" s="1305"/>
      <c r="S1531" s="1305"/>
      <c r="T1531" s="1305"/>
      <c r="U1531" s="1306"/>
      <c r="V1531" s="52"/>
    </row>
    <row r="1532" spans="1:22" s="141" customFormat="1" ht="13.5" customHeight="1">
      <c r="A1532" s="82"/>
      <c r="B1532" s="38"/>
      <c r="C1532" s="38"/>
      <c r="D1532" s="31"/>
      <c r="E1532" s="23" t="s">
        <v>892</v>
      </c>
      <c r="F1532" s="139"/>
      <c r="G1532" s="135"/>
      <c r="H1532" s="27"/>
      <c r="I1532" s="27"/>
      <c r="J1532" s="27"/>
      <c r="K1532" s="27"/>
      <c r="L1532" s="27"/>
      <c r="M1532" s="135"/>
      <c r="N1532" s="27"/>
      <c r="O1532" s="136"/>
      <c r="P1532" s="1304">
        <f>'5.LO'!E108</f>
        <v>0</v>
      </c>
      <c r="Q1532" s="1305"/>
      <c r="R1532" s="1305"/>
      <c r="S1532" s="1305"/>
      <c r="T1532" s="1305"/>
      <c r="U1532" s="1306"/>
      <c r="V1532" s="52"/>
    </row>
    <row r="1533" spans="1:22" s="141" customFormat="1" ht="13.5" customHeight="1">
      <c r="A1533" s="82"/>
      <c r="B1533" s="38"/>
      <c r="C1533" s="38"/>
      <c r="D1533" s="31"/>
      <c r="E1533" s="23" t="s">
        <v>893</v>
      </c>
      <c r="F1533" s="139"/>
      <c r="G1533" s="135"/>
      <c r="H1533" s="27"/>
      <c r="I1533" s="27"/>
      <c r="J1533" s="27"/>
      <c r="K1533" s="27"/>
      <c r="L1533" s="27"/>
      <c r="M1533" s="135"/>
      <c r="N1533" s="27"/>
      <c r="O1533" s="136"/>
      <c r="P1533" s="1304">
        <f>'5.LO'!E109</f>
        <v>0</v>
      </c>
      <c r="Q1533" s="1305"/>
      <c r="R1533" s="1305"/>
      <c r="S1533" s="1305"/>
      <c r="T1533" s="1305"/>
      <c r="U1533" s="1306"/>
      <c r="V1533" s="52"/>
    </row>
    <row r="1534" spans="1:22" s="141" customFormat="1" ht="13.5" customHeight="1">
      <c r="A1534" s="82"/>
      <c r="B1534" s="38"/>
      <c r="C1534" s="38"/>
      <c r="D1534" s="31"/>
      <c r="E1534" s="23" t="s">
        <v>894</v>
      </c>
      <c r="F1534" s="139"/>
      <c r="G1534" s="135"/>
      <c r="H1534" s="27"/>
      <c r="I1534" s="27"/>
      <c r="J1534" s="27"/>
      <c r="K1534" s="27"/>
      <c r="L1534" s="27"/>
      <c r="M1534" s="135"/>
      <c r="N1534" s="27"/>
      <c r="O1534" s="136"/>
      <c r="P1534" s="1304">
        <f>'5.LO'!E110</f>
        <v>0</v>
      </c>
      <c r="Q1534" s="1305"/>
      <c r="R1534" s="1305"/>
      <c r="S1534" s="1305"/>
      <c r="T1534" s="1305"/>
      <c r="U1534" s="1306"/>
      <c r="V1534" s="52"/>
    </row>
    <row r="1535" spans="1:22" s="141" customFormat="1" ht="13.5" customHeight="1">
      <c r="A1535" s="82"/>
      <c r="B1535" s="38"/>
      <c r="C1535" s="38"/>
      <c r="D1535" s="31"/>
      <c r="E1535" s="23" t="s">
        <v>895</v>
      </c>
      <c r="F1535" s="139"/>
      <c r="G1535" s="135"/>
      <c r="H1535" s="27"/>
      <c r="I1535" s="27"/>
      <c r="J1535" s="27"/>
      <c r="K1535" s="27"/>
      <c r="L1535" s="27"/>
      <c r="M1535" s="135"/>
      <c r="N1535" s="27"/>
      <c r="O1535" s="136"/>
      <c r="P1535" s="1304">
        <f>'5.LO'!E111</f>
        <v>0</v>
      </c>
      <c r="Q1535" s="1305"/>
      <c r="R1535" s="1305"/>
      <c r="S1535" s="1305"/>
      <c r="T1535" s="1305"/>
      <c r="U1535" s="1306"/>
      <c r="V1535" s="52"/>
    </row>
    <row r="1536" spans="1:22" s="141" customFormat="1" ht="13.5" customHeight="1">
      <c r="A1536" s="82"/>
      <c r="B1536" s="38"/>
      <c r="C1536" s="38"/>
      <c r="D1536" s="31"/>
      <c r="E1536" s="23" t="s">
        <v>896</v>
      </c>
      <c r="F1536" s="139"/>
      <c r="G1536" s="135"/>
      <c r="H1536" s="27"/>
      <c r="I1536" s="27"/>
      <c r="J1536" s="27"/>
      <c r="K1536" s="27"/>
      <c r="L1536" s="27"/>
      <c r="M1536" s="135"/>
      <c r="N1536" s="27"/>
      <c r="O1536" s="136"/>
      <c r="P1536" s="1304">
        <f>'5.LO'!E112</f>
        <v>0</v>
      </c>
      <c r="Q1536" s="1305"/>
      <c r="R1536" s="1305"/>
      <c r="S1536" s="1305"/>
      <c r="T1536" s="1305"/>
      <c r="U1536" s="1306"/>
      <c r="V1536" s="52"/>
    </row>
    <row r="1537" spans="1:22" s="141" customFormat="1" ht="13.5" customHeight="1">
      <c r="A1537" s="82"/>
      <c r="B1537" s="38"/>
      <c r="C1537" s="38"/>
      <c r="D1537" s="31"/>
      <c r="E1537" s="16" t="s">
        <v>897</v>
      </c>
      <c r="F1537" s="139"/>
      <c r="G1537" s="135"/>
      <c r="H1537" s="27"/>
      <c r="I1537" s="27"/>
      <c r="J1537" s="27"/>
      <c r="K1537" s="27"/>
      <c r="L1537" s="27"/>
      <c r="M1537" s="135"/>
      <c r="N1537" s="27"/>
      <c r="O1537" s="136"/>
      <c r="P1537" s="1628">
        <f>'5.LO'!E113</f>
        <v>0</v>
      </c>
      <c r="Q1537" s="1629"/>
      <c r="R1537" s="1629"/>
      <c r="S1537" s="1629"/>
      <c r="T1537" s="1629"/>
      <c r="U1537" s="1630"/>
      <c r="V1537" s="52"/>
    </row>
    <row r="1538" spans="1:22" s="141" customFormat="1" ht="13.5" customHeight="1">
      <c r="A1538" s="82"/>
      <c r="B1538" s="38"/>
      <c r="C1538" s="38"/>
      <c r="D1538" s="117"/>
      <c r="E1538" s="23" t="s">
        <v>898</v>
      </c>
      <c r="F1538" s="139"/>
      <c r="G1538" s="135"/>
      <c r="H1538" s="27"/>
      <c r="I1538" s="27"/>
      <c r="J1538" s="27"/>
      <c r="K1538" s="27"/>
      <c r="L1538" s="27"/>
      <c r="M1538" s="135"/>
      <c r="N1538" s="27"/>
      <c r="O1538" s="136"/>
      <c r="P1538" s="1304">
        <f>'5.LO'!E114</f>
        <v>0</v>
      </c>
      <c r="Q1538" s="1305"/>
      <c r="R1538" s="1305"/>
      <c r="S1538" s="1305"/>
      <c r="T1538" s="1305"/>
      <c r="U1538" s="1306"/>
      <c r="V1538" s="52"/>
    </row>
    <row r="1539" spans="1:22" s="141" customFormat="1" ht="13.5" customHeight="1">
      <c r="A1539" s="82"/>
      <c r="B1539" s="38"/>
      <c r="C1539" s="38"/>
      <c r="D1539" s="31"/>
      <c r="E1539" s="23" t="s">
        <v>899</v>
      </c>
      <c r="F1539" s="139"/>
      <c r="G1539" s="135"/>
      <c r="H1539" s="27"/>
      <c r="I1539" s="27"/>
      <c r="J1539" s="27"/>
      <c r="K1539" s="27"/>
      <c r="L1539" s="27"/>
      <c r="M1539" s="135"/>
      <c r="N1539" s="27"/>
      <c r="O1539" s="136"/>
      <c r="P1539" s="1304">
        <f>'5.LO'!E115</f>
        <v>0</v>
      </c>
      <c r="Q1539" s="1305"/>
      <c r="R1539" s="1305"/>
      <c r="S1539" s="1305"/>
      <c r="T1539" s="1305"/>
      <c r="U1539" s="1306"/>
      <c r="V1539" s="52"/>
    </row>
    <row r="1540" spans="1:22" s="141" customFormat="1" ht="13.5" customHeight="1">
      <c r="A1540" s="82"/>
      <c r="B1540" s="38"/>
      <c r="C1540" s="38"/>
      <c r="D1540" s="31"/>
      <c r="E1540" s="23" t="s">
        <v>900</v>
      </c>
      <c r="F1540" s="139"/>
      <c r="G1540" s="135"/>
      <c r="H1540" s="27"/>
      <c r="I1540" s="27"/>
      <c r="J1540" s="27"/>
      <c r="K1540" s="27"/>
      <c r="L1540" s="27"/>
      <c r="M1540" s="135"/>
      <c r="N1540" s="27"/>
      <c r="O1540" s="136"/>
      <c r="P1540" s="1304">
        <f>'5.LO'!E116</f>
        <v>0</v>
      </c>
      <c r="Q1540" s="1305"/>
      <c r="R1540" s="1305"/>
      <c r="S1540" s="1305"/>
      <c r="T1540" s="1305"/>
      <c r="U1540" s="1306"/>
      <c r="V1540" s="52"/>
    </row>
    <row r="1541" spans="1:22" s="141" customFormat="1" ht="13.5" customHeight="1">
      <c r="A1541" s="82"/>
      <c r="B1541" s="38"/>
      <c r="C1541" s="38"/>
      <c r="D1541" s="31"/>
      <c r="E1541" s="23" t="s">
        <v>901</v>
      </c>
      <c r="F1541" s="139"/>
      <c r="G1541" s="135"/>
      <c r="H1541" s="27"/>
      <c r="I1541" s="27"/>
      <c r="J1541" s="27"/>
      <c r="K1541" s="27"/>
      <c r="L1541" s="27"/>
      <c r="M1541" s="135"/>
      <c r="N1541" s="27"/>
      <c r="O1541" s="136"/>
      <c r="P1541" s="1304">
        <f>'5.LO'!E117</f>
        <v>0</v>
      </c>
      <c r="Q1541" s="1305"/>
      <c r="R1541" s="1305"/>
      <c r="S1541" s="1305"/>
      <c r="T1541" s="1305"/>
      <c r="U1541" s="1306"/>
      <c r="V1541" s="52"/>
    </row>
    <row r="1542" spans="1:22" s="141" customFormat="1" ht="13.5" customHeight="1">
      <c r="A1542" s="82"/>
      <c r="B1542" s="38"/>
      <c r="C1542" s="38"/>
      <c r="D1542" s="117"/>
      <c r="E1542" s="23" t="s">
        <v>902</v>
      </c>
      <c r="F1542" s="139"/>
      <c r="G1542" s="131"/>
      <c r="H1542" s="26"/>
      <c r="I1542" s="26"/>
      <c r="J1542" s="26"/>
      <c r="K1542" s="26"/>
      <c r="L1542" s="26"/>
      <c r="M1542" s="131"/>
      <c r="N1542" s="26"/>
      <c r="O1542" s="132"/>
      <c r="P1542" s="1304">
        <f>'5.LO'!E118</f>
        <v>0</v>
      </c>
      <c r="Q1542" s="1305"/>
      <c r="R1542" s="1305"/>
      <c r="S1542" s="1305"/>
      <c r="T1542" s="1305"/>
      <c r="U1542" s="1306"/>
      <c r="V1542" s="52"/>
    </row>
    <row r="1543" spans="1:22" s="141" customFormat="1" ht="13.5" customHeight="1">
      <c r="A1543" s="82"/>
      <c r="B1543" s="38"/>
      <c r="C1543" s="38"/>
      <c r="D1543" s="117"/>
      <c r="E1543" s="23" t="s">
        <v>903</v>
      </c>
      <c r="F1543" s="139"/>
      <c r="G1543" s="135"/>
      <c r="H1543" s="27"/>
      <c r="I1543" s="27"/>
      <c r="J1543" s="27"/>
      <c r="K1543" s="27"/>
      <c r="L1543" s="27"/>
      <c r="M1543" s="135"/>
      <c r="N1543" s="27"/>
      <c r="O1543" s="136"/>
      <c r="P1543" s="1304">
        <f>'5.LO'!E119</f>
        <v>0</v>
      </c>
      <c r="Q1543" s="1305"/>
      <c r="R1543" s="1305"/>
      <c r="S1543" s="1305"/>
      <c r="T1543" s="1305"/>
      <c r="U1543" s="1306"/>
      <c r="V1543" s="52"/>
    </row>
    <row r="1544" spans="1:22" s="141" customFormat="1" ht="13.5" customHeight="1">
      <c r="A1544" s="82"/>
      <c r="B1544" s="38"/>
      <c r="C1544" s="38"/>
      <c r="D1544" s="31"/>
      <c r="E1544" s="23" t="s">
        <v>904</v>
      </c>
      <c r="F1544" s="139"/>
      <c r="G1544" s="135"/>
      <c r="H1544" s="27"/>
      <c r="I1544" s="27"/>
      <c r="J1544" s="27"/>
      <c r="K1544" s="27"/>
      <c r="L1544" s="27"/>
      <c r="M1544" s="135"/>
      <c r="N1544" s="27"/>
      <c r="O1544" s="136"/>
      <c r="P1544" s="1304">
        <f>'5.LO'!E120</f>
        <v>0</v>
      </c>
      <c r="Q1544" s="1305"/>
      <c r="R1544" s="1305"/>
      <c r="S1544" s="1305"/>
      <c r="T1544" s="1305"/>
      <c r="U1544" s="1306"/>
      <c r="V1544" s="52"/>
    </row>
    <row r="1545" spans="1:22" s="141" customFormat="1" ht="13.5" customHeight="1">
      <c r="A1545" s="82"/>
      <c r="B1545" s="38"/>
      <c r="C1545" s="38"/>
      <c r="D1545" s="31">
        <v>2</v>
      </c>
      <c r="E1545" s="16" t="s">
        <v>795</v>
      </c>
      <c r="F1545" s="16"/>
      <c r="G1545" s="135"/>
      <c r="H1545" s="27"/>
      <c r="I1545" s="27"/>
      <c r="J1545" s="27"/>
      <c r="K1545" s="27"/>
      <c r="L1545" s="27"/>
      <c r="M1545" s="135"/>
      <c r="N1545" s="27"/>
      <c r="O1545" s="136"/>
      <c r="P1545" s="1628">
        <f>'5.LO'!E121</f>
        <v>0</v>
      </c>
      <c r="Q1545" s="1629"/>
      <c r="R1545" s="1629"/>
      <c r="S1545" s="1629"/>
      <c r="T1545" s="1629"/>
      <c r="U1545" s="1630"/>
      <c r="V1545" s="52"/>
    </row>
    <row r="1546" spans="1:22" s="141" customFormat="1" ht="13.5" customHeight="1">
      <c r="A1546" s="82"/>
      <c r="B1546" s="38"/>
      <c r="C1546" s="38"/>
      <c r="D1546" s="31"/>
      <c r="E1546" s="21" t="s">
        <v>1175</v>
      </c>
      <c r="F1546" s="139"/>
      <c r="G1546" s="135"/>
      <c r="H1546" s="27"/>
      <c r="I1546" s="27"/>
      <c r="J1546" s="27"/>
      <c r="K1546" s="27"/>
      <c r="L1546" s="27"/>
      <c r="M1546" s="135"/>
      <c r="N1546" s="27"/>
      <c r="O1546" s="136"/>
      <c r="P1546" s="1304">
        <f>'5.LO'!E122</f>
        <v>0</v>
      </c>
      <c r="Q1546" s="1305"/>
      <c r="R1546" s="1305"/>
      <c r="S1546" s="1305"/>
      <c r="T1546" s="1305"/>
      <c r="U1546" s="1306"/>
      <c r="V1546" s="52"/>
    </row>
    <row r="1547" spans="1:22" s="141" customFormat="1" ht="13.5" customHeight="1">
      <c r="A1547" s="82"/>
      <c r="B1547" s="38"/>
      <c r="C1547" s="38"/>
      <c r="D1547" s="31"/>
      <c r="E1547" s="21" t="s">
        <v>1176</v>
      </c>
      <c r="F1547" s="139"/>
      <c r="G1547" s="135"/>
      <c r="H1547" s="27"/>
      <c r="I1547" s="27"/>
      <c r="J1547" s="27"/>
      <c r="K1547" s="27"/>
      <c r="L1547" s="27"/>
      <c r="M1547" s="135"/>
      <c r="N1547" s="27"/>
      <c r="O1547" s="136"/>
      <c r="P1547" s="1304">
        <f>'5.LO'!E123</f>
        <v>0</v>
      </c>
      <c r="Q1547" s="1305"/>
      <c r="R1547" s="1305"/>
      <c r="S1547" s="1305"/>
      <c r="T1547" s="1305"/>
      <c r="U1547" s="1306"/>
      <c r="V1547" s="52"/>
    </row>
    <row r="1548" spans="1:22" s="141" customFormat="1" ht="13.5" customHeight="1">
      <c r="A1548" s="82"/>
      <c r="B1548" s="38"/>
      <c r="C1548" s="38"/>
      <c r="D1548" s="31">
        <v>3</v>
      </c>
      <c r="E1548" s="16" t="s">
        <v>796</v>
      </c>
      <c r="F1548" s="16"/>
      <c r="G1548" s="135"/>
      <c r="H1548" s="27"/>
      <c r="I1548" s="27"/>
      <c r="J1548" s="27"/>
      <c r="K1548" s="27"/>
      <c r="L1548" s="27"/>
      <c r="M1548" s="135"/>
      <c r="N1548" s="27"/>
      <c r="O1548" s="136"/>
      <c r="P1548" s="1628">
        <f>'5.LO'!E124</f>
        <v>0</v>
      </c>
      <c r="Q1548" s="1629"/>
      <c r="R1548" s="1629"/>
      <c r="S1548" s="1629"/>
      <c r="T1548" s="1629"/>
      <c r="U1548" s="1630"/>
      <c r="V1548" s="52"/>
    </row>
    <row r="1549" spans="1:22" s="141" customFormat="1" ht="13.5" customHeight="1">
      <c r="A1549" s="82"/>
      <c r="B1549" s="38"/>
      <c r="C1549" s="38"/>
      <c r="D1549" s="31"/>
      <c r="E1549" s="16" t="s">
        <v>905</v>
      </c>
      <c r="F1549" s="139"/>
      <c r="G1549" s="135"/>
      <c r="H1549" s="27"/>
      <c r="I1549" s="27"/>
      <c r="J1549" s="27"/>
      <c r="K1549" s="27"/>
      <c r="L1549" s="27"/>
      <c r="M1549" s="135"/>
      <c r="N1549" s="27"/>
      <c r="O1549" s="136"/>
      <c r="P1549" s="1628">
        <f>'5.LO'!E125</f>
        <v>0</v>
      </c>
      <c r="Q1549" s="1629"/>
      <c r="R1549" s="1629"/>
      <c r="S1549" s="1629"/>
      <c r="T1549" s="1629"/>
      <c r="U1549" s="1630"/>
      <c r="V1549" s="52"/>
    </row>
    <row r="1550" spans="1:22" s="141" customFormat="1" ht="13.5" customHeight="1">
      <c r="A1550" s="82"/>
      <c r="B1550" s="38"/>
      <c r="C1550" s="38"/>
      <c r="D1550" s="117"/>
      <c r="E1550" s="22" t="s">
        <v>906</v>
      </c>
      <c r="F1550" s="139"/>
      <c r="G1550" s="135"/>
      <c r="H1550" s="27"/>
      <c r="I1550" s="27"/>
      <c r="J1550" s="27"/>
      <c r="K1550" s="27"/>
      <c r="L1550" s="27"/>
      <c r="M1550" s="135"/>
      <c r="N1550" s="27"/>
      <c r="O1550" s="136"/>
      <c r="P1550" s="1628">
        <f>'5.LO'!E126</f>
        <v>0</v>
      </c>
      <c r="Q1550" s="1629"/>
      <c r="R1550" s="1629"/>
      <c r="S1550" s="1629"/>
      <c r="T1550" s="1629"/>
      <c r="U1550" s="1630"/>
      <c r="V1550" s="52"/>
    </row>
    <row r="1551" spans="1:22" s="141" customFormat="1" ht="13.5" customHeight="1">
      <c r="A1551" s="82"/>
      <c r="B1551" s="38"/>
      <c r="C1551" s="38"/>
      <c r="D1551" s="31"/>
      <c r="E1551" s="23" t="s">
        <v>907</v>
      </c>
      <c r="F1551" s="139"/>
      <c r="G1551" s="135"/>
      <c r="H1551" s="27"/>
      <c r="I1551" s="27"/>
      <c r="J1551" s="27"/>
      <c r="K1551" s="27"/>
      <c r="L1551" s="27"/>
      <c r="M1551" s="135"/>
      <c r="N1551" s="27"/>
      <c r="O1551" s="136"/>
      <c r="P1551" s="1304">
        <f>'5.LO'!E127</f>
        <v>0</v>
      </c>
      <c r="Q1551" s="1305"/>
      <c r="R1551" s="1305"/>
      <c r="S1551" s="1305"/>
      <c r="T1551" s="1305"/>
      <c r="U1551" s="1306"/>
      <c r="V1551" s="52"/>
    </row>
    <row r="1552" spans="1:22" s="141" customFormat="1" ht="27" customHeight="1">
      <c r="A1552" s="82"/>
      <c r="B1552" s="38"/>
      <c r="C1552" s="38"/>
      <c r="D1552" s="31"/>
      <c r="E1552" s="1619" t="s">
        <v>908</v>
      </c>
      <c r="F1552" s="1117"/>
      <c r="G1552" s="1117"/>
      <c r="H1552" s="1117"/>
      <c r="I1552" s="1117"/>
      <c r="J1552" s="1117"/>
      <c r="K1552" s="1117"/>
      <c r="L1552" s="1117"/>
      <c r="M1552" s="1117"/>
      <c r="N1552" s="1117"/>
      <c r="O1552" s="1424"/>
      <c r="P1552" s="1304">
        <f>'5.LO'!E128</f>
        <v>0</v>
      </c>
      <c r="Q1552" s="1305"/>
      <c r="R1552" s="1305"/>
      <c r="S1552" s="1305"/>
      <c r="T1552" s="1305"/>
      <c r="U1552" s="1306"/>
      <c r="V1552" s="52"/>
    </row>
    <row r="1553" spans="1:22" s="141" customFormat="1" ht="27" customHeight="1">
      <c r="A1553" s="82"/>
      <c r="B1553" s="38"/>
      <c r="C1553" s="38"/>
      <c r="D1553" s="117"/>
      <c r="E1553" s="1619" t="s">
        <v>909</v>
      </c>
      <c r="F1553" s="1117"/>
      <c r="G1553" s="1117"/>
      <c r="H1553" s="1117"/>
      <c r="I1553" s="1117"/>
      <c r="J1553" s="1117"/>
      <c r="K1553" s="1117"/>
      <c r="L1553" s="1117"/>
      <c r="M1553" s="1117"/>
      <c r="N1553" s="1117"/>
      <c r="O1553" s="1424"/>
      <c r="P1553" s="1304">
        <f>'5.LO'!E129</f>
        <v>0</v>
      </c>
      <c r="Q1553" s="1305"/>
      <c r="R1553" s="1305"/>
      <c r="S1553" s="1305"/>
      <c r="T1553" s="1305"/>
      <c r="U1553" s="1306"/>
      <c r="V1553" s="52"/>
    </row>
    <row r="1554" spans="1:22" s="141" customFormat="1" ht="27" customHeight="1">
      <c r="A1554" s="82"/>
      <c r="B1554" s="38"/>
      <c r="C1554" s="38"/>
      <c r="D1554" s="117"/>
      <c r="E1554" s="1619" t="s">
        <v>910</v>
      </c>
      <c r="F1554" s="1117"/>
      <c r="G1554" s="1117"/>
      <c r="H1554" s="1117"/>
      <c r="I1554" s="1117"/>
      <c r="J1554" s="1117"/>
      <c r="K1554" s="1117"/>
      <c r="L1554" s="1117"/>
      <c r="M1554" s="1117"/>
      <c r="N1554" s="1117"/>
      <c r="O1554" s="1424"/>
      <c r="P1554" s="1304">
        <f>'5.LO'!E130</f>
        <v>0</v>
      </c>
      <c r="Q1554" s="1305"/>
      <c r="R1554" s="1305"/>
      <c r="S1554" s="1305"/>
      <c r="T1554" s="1305"/>
      <c r="U1554" s="1306"/>
      <c r="V1554" s="52"/>
    </row>
    <row r="1555" spans="1:22" s="141" customFormat="1" ht="13.5" customHeight="1">
      <c r="A1555" s="82"/>
      <c r="B1555" s="38"/>
      <c r="C1555" s="38"/>
      <c r="D1555" s="31"/>
      <c r="E1555" s="23" t="s">
        <v>911</v>
      </c>
      <c r="F1555" s="139"/>
      <c r="G1555" s="135"/>
      <c r="H1555" s="27"/>
      <c r="I1555" s="27"/>
      <c r="J1555" s="27"/>
      <c r="K1555" s="27"/>
      <c r="L1555" s="27"/>
      <c r="M1555" s="135"/>
      <c r="N1555" s="27"/>
      <c r="O1555" s="136"/>
      <c r="P1555" s="1304">
        <f>'5.LO'!E131</f>
        <v>0</v>
      </c>
      <c r="Q1555" s="1305"/>
      <c r="R1555" s="1305"/>
      <c r="S1555" s="1305"/>
      <c r="T1555" s="1305"/>
      <c r="U1555" s="1306"/>
      <c r="V1555" s="52"/>
    </row>
    <row r="1556" spans="1:22" s="141" customFormat="1" ht="13.5" customHeight="1">
      <c r="A1556" s="82"/>
      <c r="B1556" s="38"/>
      <c r="C1556" s="38"/>
      <c r="D1556" s="31"/>
      <c r="E1556" s="16" t="s">
        <v>912</v>
      </c>
      <c r="F1556" s="139"/>
      <c r="G1556" s="135"/>
      <c r="H1556" s="27"/>
      <c r="I1556" s="27"/>
      <c r="J1556" s="27"/>
      <c r="K1556" s="27"/>
      <c r="L1556" s="27"/>
      <c r="M1556" s="135"/>
      <c r="N1556" s="27"/>
      <c r="O1556" s="136"/>
      <c r="P1556" s="1304">
        <f>'5.LO'!E132</f>
        <v>0</v>
      </c>
      <c r="Q1556" s="1305"/>
      <c r="R1556" s="1305"/>
      <c r="S1556" s="1305"/>
      <c r="T1556" s="1305"/>
      <c r="U1556" s="1306"/>
      <c r="V1556" s="52"/>
    </row>
    <row r="1557" spans="1:22" s="141" customFormat="1" ht="24.75" customHeight="1">
      <c r="A1557" s="82"/>
      <c r="B1557" s="38"/>
      <c r="C1557" s="38"/>
      <c r="D1557" s="1665" t="s">
        <v>1604</v>
      </c>
      <c r="E1557" s="1666"/>
      <c r="F1557" s="1666"/>
      <c r="G1557" s="1666"/>
      <c r="H1557" s="1666"/>
      <c r="I1557" s="1666"/>
      <c r="J1557" s="1666"/>
      <c r="K1557" s="1666"/>
      <c r="L1557" s="1666"/>
      <c r="M1557" s="1666"/>
      <c r="N1557" s="1666"/>
      <c r="O1557" s="1667"/>
      <c r="P1557" s="1628">
        <f>P1548+P1545+P1510</f>
        <v>0</v>
      </c>
      <c r="Q1557" s="1629"/>
      <c r="R1557" s="1629"/>
      <c r="S1557" s="1629"/>
      <c r="T1557" s="1629"/>
      <c r="U1557" s="1630"/>
      <c r="V1557" s="52"/>
    </row>
    <row r="1558" spans="1:22" s="141" customFormat="1" ht="6" customHeight="1">
      <c r="A1558" s="82"/>
      <c r="B1558" s="38"/>
      <c r="C1558" s="38"/>
      <c r="D1558" s="38"/>
      <c r="E1558" s="38"/>
      <c r="F1558" s="38"/>
      <c r="G1558" s="38"/>
      <c r="H1558" s="38"/>
      <c r="I1558" s="38"/>
      <c r="J1558" s="38"/>
      <c r="K1558" s="38"/>
      <c r="L1558" s="38"/>
      <c r="M1558" s="38"/>
      <c r="N1558" s="38"/>
      <c r="O1558" s="38"/>
      <c r="P1558" s="38"/>
      <c r="Q1558" s="38"/>
      <c r="R1558" s="38"/>
      <c r="S1558" s="38"/>
      <c r="T1558" s="38"/>
      <c r="U1558" s="38"/>
      <c r="V1558" s="52"/>
    </row>
    <row r="1559" spans="1:22" s="141" customFormat="1" ht="6" customHeight="1">
      <c r="A1559" s="838"/>
      <c r="B1559" s="38"/>
      <c r="C1559" s="38"/>
      <c r="D1559" s="38"/>
      <c r="E1559" s="38"/>
      <c r="F1559" s="38"/>
      <c r="G1559" s="38"/>
      <c r="H1559" s="38"/>
      <c r="I1559" s="38"/>
      <c r="J1559" s="38"/>
      <c r="K1559" s="38"/>
      <c r="L1559" s="38"/>
      <c r="M1559" s="38"/>
      <c r="N1559" s="38"/>
      <c r="O1559" s="38"/>
      <c r="P1559" s="38"/>
      <c r="Q1559" s="38"/>
      <c r="R1559" s="38"/>
      <c r="S1559" s="38"/>
      <c r="T1559" s="38"/>
      <c r="U1559" s="38"/>
      <c r="V1559" s="52"/>
    </row>
    <row r="1560" spans="1:22" s="141" customFormat="1" ht="21.75" customHeight="1">
      <c r="A1560" s="82"/>
      <c r="B1560" s="38"/>
      <c r="C1560" s="651" t="s">
        <v>17</v>
      </c>
      <c r="D1560" s="1684" t="s">
        <v>227</v>
      </c>
      <c r="E1560" s="1684"/>
      <c r="F1560" s="1684"/>
      <c r="G1560" s="1684"/>
      <c r="H1560" s="1684"/>
      <c r="I1560" s="1684"/>
      <c r="J1560" s="1684"/>
      <c r="K1560" s="1684"/>
      <c r="L1560" s="1684"/>
      <c r="M1560" s="1684"/>
      <c r="N1560" s="1684"/>
      <c r="O1560" s="1684"/>
      <c r="P1560" s="1684"/>
      <c r="Q1560" s="1684"/>
      <c r="R1560" s="1684"/>
      <c r="S1560" s="1684"/>
      <c r="T1560" s="1684"/>
      <c r="U1560" s="1684"/>
      <c r="V1560" s="52"/>
    </row>
    <row r="1561" spans="1:22" s="141" customFormat="1" ht="43.5" customHeight="1">
      <c r="A1561" s="82"/>
      <c r="B1561" s="38"/>
      <c r="D1561" s="1091" t="str">
        <f>"Akun ini menggambarkan realisasi Lain-lain Pendapatan Daerah Yang Sah  untuk periode Tahun Anggaran "&amp;'2.ISIAN DATA SKPD'!D11&amp;" dan "&amp;'2.ISIAN DATA SKPD'!D12&amp;"  dengan rincian  sebagai berikut :"</f>
        <v>Akun ini menggambarkan realisasi Lain-lain Pendapatan Daerah Yang Sah  untuk periode Tahun Anggaran 2017 dan 2016  dengan rincian  sebagai berikut :</v>
      </c>
      <c r="E1561" s="1091"/>
      <c r="F1561" s="1091"/>
      <c r="G1561" s="1091"/>
      <c r="H1561" s="1091"/>
      <c r="I1561" s="1091"/>
      <c r="J1561" s="1091"/>
      <c r="K1561" s="1091"/>
      <c r="L1561" s="1091"/>
      <c r="M1561" s="1091"/>
      <c r="N1561" s="1091"/>
      <c r="O1561" s="1091"/>
      <c r="P1561" s="1091"/>
      <c r="Q1561" s="1091"/>
      <c r="R1561" s="1091"/>
      <c r="S1561" s="1091"/>
      <c r="T1561" s="1091"/>
      <c r="U1561" s="1091"/>
      <c r="V1561" s="52"/>
    </row>
    <row r="1562" spans="1:22" s="141" customFormat="1" ht="7.5" customHeight="1">
      <c r="A1562" s="82"/>
      <c r="B1562" s="38"/>
      <c r="D1562" s="702"/>
      <c r="E1562" s="702"/>
      <c r="F1562" s="702"/>
      <c r="G1562" s="702"/>
      <c r="H1562" s="702"/>
      <c r="I1562" s="702"/>
      <c r="J1562" s="702"/>
      <c r="K1562" s="702"/>
      <c r="L1562" s="702"/>
      <c r="M1562" s="702"/>
      <c r="N1562" s="702"/>
      <c r="O1562" s="702"/>
      <c r="P1562" s="702"/>
      <c r="Q1562" s="702"/>
      <c r="R1562" s="702"/>
      <c r="S1562" s="702"/>
      <c r="T1562" s="702"/>
      <c r="U1562" s="702"/>
      <c r="V1562" s="52"/>
    </row>
    <row r="1563" spans="1:22" s="141" customFormat="1" ht="21.75" customHeight="1">
      <c r="A1563" s="1126" t="s">
        <v>9</v>
      </c>
      <c r="B1563" s="1127"/>
      <c r="C1563" s="1127"/>
      <c r="D1563" s="1127"/>
      <c r="E1563" s="1127"/>
      <c r="F1563" s="1127"/>
      <c r="G1563" s="1127"/>
      <c r="H1563" s="1128"/>
      <c r="I1563" s="1126" t="str">
        <f>G1398</f>
        <v>TA 2017</v>
      </c>
      <c r="J1563" s="1127"/>
      <c r="K1563" s="1127"/>
      <c r="L1563" s="1127"/>
      <c r="M1563" s="1127"/>
      <c r="N1563" s="1128"/>
      <c r="O1563" s="1126" t="str">
        <f>M1398</f>
        <v>TA 2016</v>
      </c>
      <c r="P1563" s="1127"/>
      <c r="Q1563" s="1127"/>
      <c r="R1563" s="1127"/>
      <c r="S1563" s="1127"/>
      <c r="T1563" s="1127"/>
      <c r="U1563" s="1128"/>
      <c r="V1563" s="52"/>
    </row>
    <row r="1564" spans="1:22" s="141" customFormat="1" ht="14.25" customHeight="1">
      <c r="A1564" s="796" t="s">
        <v>251</v>
      </c>
      <c r="B1564" s="797"/>
      <c r="C1564" s="139"/>
      <c r="D1564" s="139"/>
      <c r="E1564" s="798"/>
      <c r="F1564" s="798"/>
      <c r="G1564" s="798"/>
      <c r="H1564" s="798"/>
      <c r="I1564" s="1417">
        <f>'5.LO'!E135</f>
        <v>0</v>
      </c>
      <c r="J1564" s="1418"/>
      <c r="K1564" s="1418"/>
      <c r="L1564" s="1418"/>
      <c r="M1564" s="1418"/>
      <c r="N1564" s="1419"/>
      <c r="O1564" s="1417">
        <f>'5.LO'!F135</f>
        <v>0</v>
      </c>
      <c r="P1564" s="1418"/>
      <c r="Q1564" s="1418"/>
      <c r="R1564" s="1418"/>
      <c r="S1564" s="1418"/>
      <c r="T1564" s="1418"/>
      <c r="U1564" s="1419"/>
      <c r="V1564" s="52"/>
    </row>
    <row r="1565" spans="1:22" s="141" customFormat="1" ht="14.25" customHeight="1">
      <c r="A1565" s="796" t="s">
        <v>915</v>
      </c>
      <c r="B1565" s="797"/>
      <c r="C1565" s="139"/>
      <c r="D1565" s="139"/>
      <c r="E1565" s="798"/>
      <c r="F1565" s="798"/>
      <c r="G1565" s="798"/>
      <c r="H1565" s="798"/>
      <c r="I1565" s="1417">
        <f>'5.LO'!E164</f>
        <v>0</v>
      </c>
      <c r="J1565" s="1418"/>
      <c r="K1565" s="1418"/>
      <c r="L1565" s="1418"/>
      <c r="M1565" s="1418"/>
      <c r="N1565" s="1419"/>
      <c r="O1565" s="1417">
        <f>'5.LO'!F137</f>
        <v>0</v>
      </c>
      <c r="P1565" s="1418"/>
      <c r="Q1565" s="1418"/>
      <c r="R1565" s="1418"/>
      <c r="S1565" s="1418"/>
      <c r="T1565" s="1418"/>
      <c r="U1565" s="1419"/>
      <c r="V1565" s="52"/>
    </row>
    <row r="1566" spans="1:22" s="141" customFormat="1" ht="14.25" customHeight="1">
      <c r="A1566" s="796" t="s">
        <v>191</v>
      </c>
      <c r="B1566" s="797"/>
      <c r="C1566" s="139"/>
      <c r="D1566" s="139"/>
      <c r="E1566" s="798"/>
      <c r="F1566" s="798"/>
      <c r="G1566" s="798"/>
      <c r="H1566" s="798"/>
      <c r="I1566" s="1417">
        <f>'5.LO'!E185</f>
        <v>0</v>
      </c>
      <c r="J1566" s="1418"/>
      <c r="K1566" s="1418"/>
      <c r="L1566" s="1418"/>
      <c r="M1566" s="1418"/>
      <c r="N1566" s="1419"/>
      <c r="O1566" s="1417">
        <f>'5.LO'!F138</f>
        <v>0</v>
      </c>
      <c r="P1566" s="1418"/>
      <c r="Q1566" s="1418"/>
      <c r="R1566" s="1418"/>
      <c r="S1566" s="1418"/>
      <c r="T1566" s="1418"/>
      <c r="U1566" s="1419"/>
      <c r="V1566" s="52"/>
    </row>
    <row r="1567" spans="1:22" s="141" customFormat="1" ht="21.75" customHeight="1">
      <c r="A1567" s="1558" t="s">
        <v>10</v>
      </c>
      <c r="B1567" s="1595"/>
      <c r="C1567" s="1595"/>
      <c r="D1567" s="1595"/>
      <c r="E1567" s="1595"/>
      <c r="F1567" s="1595"/>
      <c r="G1567" s="1595"/>
      <c r="H1567" s="1596"/>
      <c r="I1567" s="1429">
        <f>SUM(I1564:R1566)</f>
        <v>0</v>
      </c>
      <c r="J1567" s="1430"/>
      <c r="K1567" s="1430"/>
      <c r="L1567" s="1430"/>
      <c r="M1567" s="1430"/>
      <c r="N1567" s="1431"/>
      <c r="O1567" s="1429">
        <f>SUM(O1564:U1566)</f>
        <v>0</v>
      </c>
      <c r="P1567" s="1430"/>
      <c r="Q1567" s="1430"/>
      <c r="R1567" s="1430"/>
      <c r="S1567" s="1430"/>
      <c r="T1567" s="1430"/>
      <c r="U1567" s="1431"/>
      <c r="V1567" s="52"/>
    </row>
    <row r="1568" spans="1:22" s="141" customFormat="1" ht="5.25" customHeight="1">
      <c r="A1568" s="54"/>
      <c r="B1568" s="54"/>
      <c r="C1568" s="54"/>
      <c r="D1568" s="54"/>
      <c r="E1568" s="54"/>
      <c r="F1568" s="54"/>
      <c r="G1568" s="54"/>
      <c r="H1568" s="54"/>
      <c r="I1568" s="799"/>
      <c r="J1568" s="799"/>
      <c r="K1568" s="799"/>
      <c r="L1568" s="799"/>
      <c r="M1568" s="799"/>
      <c r="N1568" s="799"/>
      <c r="O1568" s="799"/>
      <c r="P1568" s="799"/>
      <c r="Q1568" s="799"/>
      <c r="R1568" s="799"/>
      <c r="S1568" s="799"/>
      <c r="T1568" s="799"/>
      <c r="U1568" s="799"/>
      <c r="V1568" s="52"/>
    </row>
    <row r="1569" spans="1:22" s="141" customFormat="1" ht="29.25" customHeight="1">
      <c r="A1569" s="82"/>
      <c r="B1569" s="38"/>
      <c r="C1569" s="38"/>
      <c r="D1569" s="1091" t="str">
        <f>"Adapun rincian Lain-lain Pendapatan Yang Sah  per "&amp;'2.ISIAN DATA SKPD'!D8&amp;" sebagaimana berikut :"</f>
        <v>Adapun rincian Lain-lain Pendapatan Yang Sah  per 31 Desember 2017 sebagaimana berikut :</v>
      </c>
      <c r="E1569" s="1091"/>
      <c r="F1569" s="1091"/>
      <c r="G1569" s="1091"/>
      <c r="H1569" s="1091"/>
      <c r="I1569" s="1091"/>
      <c r="J1569" s="1091"/>
      <c r="K1569" s="1091"/>
      <c r="L1569" s="1091"/>
      <c r="M1569" s="1091"/>
      <c r="N1569" s="1091"/>
      <c r="O1569" s="1091"/>
      <c r="P1569" s="1091"/>
      <c r="Q1569" s="1091"/>
      <c r="R1569" s="1091"/>
      <c r="S1569" s="1091"/>
      <c r="T1569" s="1091"/>
      <c r="U1569" s="1091"/>
      <c r="V1569" s="52"/>
    </row>
    <row r="1570" spans="1:22" s="141" customFormat="1" ht="21.75" customHeight="1">
      <c r="A1570" s="82"/>
      <c r="B1570" s="38"/>
      <c r="C1570" s="38"/>
      <c r="D1570" s="24" t="s">
        <v>126</v>
      </c>
      <c r="E1570" s="1681" t="s">
        <v>1605</v>
      </c>
      <c r="F1570" s="1681"/>
      <c r="G1570" s="1681"/>
      <c r="H1570" s="1681"/>
      <c r="I1570" s="1681"/>
      <c r="J1570" s="1681"/>
      <c r="K1570" s="1681"/>
      <c r="L1570" s="1681"/>
      <c r="M1570" s="1681"/>
      <c r="N1570" s="1681"/>
      <c r="O1570" s="1682"/>
      <c r="P1570" s="1569" t="s">
        <v>10</v>
      </c>
      <c r="Q1570" s="1570"/>
      <c r="R1570" s="1570"/>
      <c r="S1570" s="1570"/>
      <c r="T1570" s="1570"/>
      <c r="U1570" s="1571"/>
      <c r="V1570" s="52"/>
    </row>
    <row r="1571" spans="1:22" s="141" customFormat="1" ht="14.25" customHeight="1">
      <c r="A1571" s="82"/>
      <c r="B1571" s="38"/>
      <c r="C1571" s="38"/>
      <c r="D1571" s="24">
        <v>1</v>
      </c>
      <c r="E1571" s="16" t="s">
        <v>251</v>
      </c>
      <c r="F1571" s="17"/>
      <c r="G1571" s="131"/>
      <c r="H1571" s="26"/>
      <c r="I1571" s="26"/>
      <c r="J1571" s="26"/>
      <c r="K1571" s="26"/>
      <c r="L1571" s="26"/>
      <c r="M1571" s="131"/>
      <c r="N1571" s="26"/>
      <c r="O1571" s="132"/>
      <c r="P1571" s="1429">
        <f>'5.LO'!E135</f>
        <v>0</v>
      </c>
      <c r="Q1571" s="1430"/>
      <c r="R1571" s="1430"/>
      <c r="S1571" s="1430"/>
      <c r="T1571" s="1430"/>
      <c r="U1571" s="1431"/>
      <c r="V1571" s="52"/>
    </row>
    <row r="1572" spans="1:22" s="141" customFormat="1" ht="14.25" customHeight="1">
      <c r="A1572" s="82"/>
      <c r="B1572" s="38"/>
      <c r="C1572" s="38"/>
      <c r="D1572" s="24"/>
      <c r="E1572" s="15"/>
      <c r="F1572" s="19" t="s">
        <v>914</v>
      </c>
      <c r="G1572" s="135"/>
      <c r="H1572" s="27"/>
      <c r="I1572" s="27"/>
      <c r="J1572" s="27"/>
      <c r="K1572" s="27"/>
      <c r="L1572" s="27"/>
      <c r="M1572" s="135"/>
      <c r="N1572" s="27"/>
      <c r="O1572" s="136"/>
      <c r="P1572" s="1417">
        <f>'5.LO'!E136</f>
        <v>0</v>
      </c>
      <c r="Q1572" s="1418"/>
      <c r="R1572" s="1418"/>
      <c r="S1572" s="1418"/>
      <c r="T1572" s="1418"/>
      <c r="U1572" s="1419"/>
      <c r="V1572" s="52"/>
    </row>
    <row r="1573" spans="1:22" s="141" customFormat="1" ht="14.25" customHeight="1">
      <c r="A1573" s="82"/>
      <c r="B1573" s="38"/>
      <c r="C1573" s="38"/>
      <c r="D1573" s="24">
        <v>2</v>
      </c>
      <c r="E1573" s="16" t="s">
        <v>915</v>
      </c>
      <c r="F1573" s="17"/>
      <c r="G1573" s="135"/>
      <c r="H1573" s="27"/>
      <c r="I1573" s="27"/>
      <c r="J1573" s="27"/>
      <c r="K1573" s="27"/>
      <c r="L1573" s="27"/>
      <c r="M1573" s="135"/>
      <c r="N1573" s="27"/>
      <c r="O1573" s="136"/>
      <c r="P1573" s="1429">
        <f>'5.LO'!E137</f>
        <v>0</v>
      </c>
      <c r="Q1573" s="1430"/>
      <c r="R1573" s="1430"/>
      <c r="S1573" s="1430"/>
      <c r="T1573" s="1430"/>
      <c r="U1573" s="1431"/>
      <c r="V1573" s="52"/>
    </row>
    <row r="1574" spans="1:22" s="141" customFormat="1" ht="14.25" customHeight="1">
      <c r="A1574" s="82"/>
      <c r="B1574" s="38"/>
      <c r="C1574" s="38"/>
      <c r="D1574" s="24">
        <v>3</v>
      </c>
      <c r="E1574" s="32" t="s">
        <v>191</v>
      </c>
      <c r="F1574" s="33"/>
      <c r="G1574" s="135"/>
      <c r="H1574" s="27"/>
      <c r="I1574" s="27"/>
      <c r="J1574" s="27"/>
      <c r="K1574" s="27"/>
      <c r="L1574" s="27"/>
      <c r="M1574" s="135"/>
      <c r="N1574" s="27"/>
      <c r="O1574" s="136"/>
      <c r="P1574" s="1429">
        <f>'5.LO'!E138</f>
        <v>0</v>
      </c>
      <c r="Q1574" s="1430"/>
      <c r="R1574" s="1430"/>
      <c r="S1574" s="1430"/>
      <c r="T1574" s="1430"/>
      <c r="U1574" s="1431"/>
      <c r="V1574" s="52"/>
    </row>
    <row r="1575" spans="1:22" s="141" customFormat="1" ht="14.25" customHeight="1">
      <c r="A1575" s="82"/>
      <c r="B1575" s="38"/>
      <c r="C1575" s="38"/>
      <c r="D1575" s="24"/>
      <c r="E1575" s="800"/>
      <c r="F1575" s="17" t="s">
        <v>916</v>
      </c>
      <c r="G1575" s="135"/>
      <c r="H1575" s="27"/>
      <c r="I1575" s="27"/>
      <c r="J1575" s="27"/>
      <c r="K1575" s="27"/>
      <c r="L1575" s="27"/>
      <c r="M1575" s="135"/>
      <c r="N1575" s="27"/>
      <c r="O1575" s="136"/>
      <c r="P1575" s="1429">
        <f>'5.LO'!E139</f>
        <v>0</v>
      </c>
      <c r="Q1575" s="1430"/>
      <c r="R1575" s="1430"/>
      <c r="S1575" s="1430"/>
      <c r="T1575" s="1430"/>
      <c r="U1575" s="1431"/>
      <c r="V1575" s="52"/>
    </row>
    <row r="1576" spans="1:22" s="141" customFormat="1" ht="14.25" customHeight="1">
      <c r="A1576" s="82"/>
      <c r="B1576" s="38"/>
      <c r="C1576" s="38"/>
      <c r="D1576" s="24"/>
      <c r="E1576" s="15"/>
      <c r="F1576" s="19" t="s">
        <v>917</v>
      </c>
      <c r="G1576" s="135"/>
      <c r="H1576" s="27"/>
      <c r="I1576" s="27"/>
      <c r="J1576" s="27"/>
      <c r="K1576" s="27"/>
      <c r="L1576" s="27"/>
      <c r="M1576" s="135"/>
      <c r="N1576" s="27"/>
      <c r="O1576" s="136"/>
      <c r="P1576" s="1417">
        <f>'5.LO'!E140</f>
        <v>0</v>
      </c>
      <c r="Q1576" s="1418"/>
      <c r="R1576" s="1418"/>
      <c r="S1576" s="1418"/>
      <c r="T1576" s="1418"/>
      <c r="U1576" s="1419"/>
      <c r="V1576" s="52"/>
    </row>
    <row r="1577" spans="1:22" s="141" customFormat="1" ht="14.25" customHeight="1">
      <c r="A1577" s="82"/>
      <c r="B1577" s="38"/>
      <c r="C1577" s="38"/>
      <c r="D1577" s="24"/>
      <c r="E1577" s="15"/>
      <c r="F1577" s="19" t="s">
        <v>918</v>
      </c>
      <c r="G1577" s="135"/>
      <c r="H1577" s="27"/>
      <c r="I1577" s="27"/>
      <c r="J1577" s="27"/>
      <c r="K1577" s="27"/>
      <c r="L1577" s="27"/>
      <c r="M1577" s="135"/>
      <c r="N1577" s="27"/>
      <c r="O1577" s="136"/>
      <c r="P1577" s="1417">
        <f>'5.LO'!E141</f>
        <v>0</v>
      </c>
      <c r="Q1577" s="1418"/>
      <c r="R1577" s="1418"/>
      <c r="S1577" s="1418"/>
      <c r="T1577" s="1418"/>
      <c r="U1577" s="1419"/>
      <c r="V1577" s="52"/>
    </row>
    <row r="1578" spans="1:22" s="141" customFormat="1" ht="14.25" customHeight="1">
      <c r="A1578" s="82"/>
      <c r="B1578" s="38"/>
      <c r="C1578" s="38"/>
      <c r="D1578" s="24"/>
      <c r="E1578" s="15"/>
      <c r="F1578" s="19" t="s">
        <v>919</v>
      </c>
      <c r="G1578" s="135"/>
      <c r="H1578" s="27"/>
      <c r="I1578" s="27"/>
      <c r="J1578" s="27"/>
      <c r="K1578" s="27"/>
      <c r="L1578" s="27"/>
      <c r="M1578" s="135"/>
      <c r="N1578" s="27"/>
      <c r="O1578" s="136"/>
      <c r="P1578" s="1417">
        <f>'5.LO'!E142</f>
        <v>0</v>
      </c>
      <c r="Q1578" s="1418"/>
      <c r="R1578" s="1418"/>
      <c r="S1578" s="1418"/>
      <c r="T1578" s="1418"/>
      <c r="U1578" s="1419"/>
      <c r="V1578" s="52"/>
    </row>
    <row r="1579" spans="1:22" s="141" customFormat="1" ht="14.25" customHeight="1">
      <c r="A1579" s="82"/>
      <c r="B1579" s="38"/>
      <c r="C1579" s="38"/>
      <c r="D1579" s="24"/>
      <c r="E1579" s="15"/>
      <c r="F1579" s="19" t="s">
        <v>920</v>
      </c>
      <c r="G1579" s="135"/>
      <c r="H1579" s="27"/>
      <c r="I1579" s="27"/>
      <c r="J1579" s="27"/>
      <c r="K1579" s="27"/>
      <c r="L1579" s="27"/>
      <c r="M1579" s="135"/>
      <c r="N1579" s="27"/>
      <c r="O1579" s="136"/>
      <c r="P1579" s="1417">
        <f>'5.LO'!E143</f>
        <v>0</v>
      </c>
      <c r="Q1579" s="1418"/>
      <c r="R1579" s="1418"/>
      <c r="S1579" s="1418"/>
      <c r="T1579" s="1418"/>
      <c r="U1579" s="1419"/>
      <c r="V1579" s="52"/>
    </row>
    <row r="1580" spans="1:22" s="141" customFormat="1" ht="14.25" customHeight="1">
      <c r="A1580" s="82"/>
      <c r="B1580" s="38"/>
      <c r="C1580" s="38"/>
      <c r="D1580" s="24"/>
      <c r="E1580" s="15"/>
      <c r="F1580" s="19" t="s">
        <v>921</v>
      </c>
      <c r="G1580" s="135"/>
      <c r="H1580" s="27"/>
      <c r="I1580" s="27"/>
      <c r="J1580" s="27"/>
      <c r="K1580" s="27"/>
      <c r="L1580" s="27"/>
      <c r="M1580" s="135"/>
      <c r="N1580" s="27"/>
      <c r="O1580" s="136"/>
      <c r="P1580" s="1417">
        <f>'5.LO'!E144</f>
        <v>0</v>
      </c>
      <c r="Q1580" s="1418"/>
      <c r="R1580" s="1418"/>
      <c r="S1580" s="1418"/>
      <c r="T1580" s="1418"/>
      <c r="U1580" s="1419"/>
      <c r="V1580" s="52"/>
    </row>
    <row r="1581" spans="1:22" s="141" customFormat="1" ht="14.25" customHeight="1">
      <c r="A1581" s="82"/>
      <c r="B1581" s="38"/>
      <c r="C1581" s="38"/>
      <c r="D1581" s="24"/>
      <c r="E1581" s="15"/>
      <c r="F1581" s="19" t="s">
        <v>922</v>
      </c>
      <c r="G1581" s="131"/>
      <c r="H1581" s="26"/>
      <c r="I1581" s="26"/>
      <c r="J1581" s="26"/>
      <c r="K1581" s="26"/>
      <c r="L1581" s="26"/>
      <c r="M1581" s="131"/>
      <c r="N1581" s="26"/>
      <c r="O1581" s="132"/>
      <c r="P1581" s="1417">
        <f>'5.LO'!E145</f>
        <v>0</v>
      </c>
      <c r="Q1581" s="1418"/>
      <c r="R1581" s="1418"/>
      <c r="S1581" s="1418"/>
      <c r="T1581" s="1418"/>
      <c r="U1581" s="1419"/>
      <c r="V1581" s="52"/>
    </row>
    <row r="1582" spans="1:22" s="141" customFormat="1" ht="14.25" customHeight="1">
      <c r="A1582" s="82"/>
      <c r="B1582" s="38"/>
      <c r="C1582" s="38"/>
      <c r="D1582" s="24"/>
      <c r="E1582" s="15"/>
      <c r="F1582" s="19" t="s">
        <v>923</v>
      </c>
      <c r="G1582" s="135"/>
      <c r="H1582" s="27"/>
      <c r="I1582" s="27"/>
      <c r="J1582" s="27"/>
      <c r="K1582" s="27"/>
      <c r="L1582" s="27"/>
      <c r="M1582" s="135"/>
      <c r="N1582" s="27"/>
      <c r="O1582" s="136"/>
      <c r="P1582" s="1417">
        <f>'5.LO'!E146</f>
        <v>0</v>
      </c>
      <c r="Q1582" s="1418"/>
      <c r="R1582" s="1418"/>
      <c r="S1582" s="1418"/>
      <c r="T1582" s="1418"/>
      <c r="U1582" s="1419"/>
      <c r="V1582" s="52"/>
    </row>
    <row r="1583" spans="1:22" s="141" customFormat="1" ht="14.25" customHeight="1">
      <c r="A1583" s="82"/>
      <c r="B1583" s="38"/>
      <c r="C1583" s="38"/>
      <c r="D1583" s="28"/>
      <c r="E1583" s="15"/>
      <c r="F1583" s="19" t="s">
        <v>924</v>
      </c>
      <c r="G1583" s="135"/>
      <c r="H1583" s="27"/>
      <c r="I1583" s="27"/>
      <c r="J1583" s="27"/>
      <c r="K1583" s="27"/>
      <c r="L1583" s="27"/>
      <c r="M1583" s="135"/>
      <c r="N1583" s="27"/>
      <c r="O1583" s="136"/>
      <c r="P1583" s="1417">
        <f>'5.LO'!E147</f>
        <v>0</v>
      </c>
      <c r="Q1583" s="1418"/>
      <c r="R1583" s="1418"/>
      <c r="S1583" s="1418"/>
      <c r="T1583" s="1418"/>
      <c r="U1583" s="1419"/>
      <c r="V1583" s="52"/>
    </row>
    <row r="1584" spans="1:22" s="141" customFormat="1" ht="14.25" customHeight="1">
      <c r="A1584" s="82"/>
      <c r="B1584" s="38"/>
      <c r="C1584" s="38"/>
      <c r="D1584" s="28"/>
      <c r="E1584" s="18"/>
      <c r="F1584" s="19" t="s">
        <v>925</v>
      </c>
      <c r="G1584" s="135"/>
      <c r="H1584" s="27"/>
      <c r="I1584" s="27"/>
      <c r="J1584" s="27"/>
      <c r="K1584" s="27"/>
      <c r="L1584" s="27"/>
      <c r="M1584" s="135"/>
      <c r="N1584" s="27"/>
      <c r="O1584" s="136"/>
      <c r="P1584" s="1417">
        <f>'5.LO'!E148</f>
        <v>0</v>
      </c>
      <c r="Q1584" s="1418"/>
      <c r="R1584" s="1418"/>
      <c r="S1584" s="1418"/>
      <c r="T1584" s="1418"/>
      <c r="U1584" s="1419"/>
      <c r="V1584" s="52"/>
    </row>
    <row r="1585" spans="1:22" s="141" customFormat="1" ht="14.25" customHeight="1">
      <c r="A1585" s="82"/>
      <c r="B1585" s="38"/>
      <c r="C1585" s="38"/>
      <c r="D1585" s="28"/>
      <c r="E1585" s="18"/>
      <c r="F1585" s="19" t="s">
        <v>926</v>
      </c>
      <c r="G1585" s="135"/>
      <c r="H1585" s="27"/>
      <c r="I1585" s="27"/>
      <c r="J1585" s="27"/>
      <c r="K1585" s="27"/>
      <c r="L1585" s="27"/>
      <c r="M1585" s="135"/>
      <c r="N1585" s="27"/>
      <c r="O1585" s="136"/>
      <c r="P1585" s="1417">
        <f>'5.LO'!E149</f>
        <v>0</v>
      </c>
      <c r="Q1585" s="1418"/>
      <c r="R1585" s="1418"/>
      <c r="S1585" s="1418"/>
      <c r="T1585" s="1418"/>
      <c r="U1585" s="1419"/>
      <c r="V1585" s="52"/>
    </row>
    <row r="1586" spans="1:22" s="141" customFormat="1" ht="14.25" customHeight="1">
      <c r="A1586" s="82"/>
      <c r="B1586" s="38"/>
      <c r="C1586" s="38"/>
      <c r="D1586" s="28"/>
      <c r="E1586" s="138"/>
      <c r="F1586" s="16" t="s">
        <v>927</v>
      </c>
      <c r="G1586" s="135"/>
      <c r="H1586" s="27"/>
      <c r="I1586" s="27"/>
      <c r="J1586" s="27"/>
      <c r="K1586" s="27"/>
      <c r="L1586" s="27"/>
      <c r="M1586" s="135"/>
      <c r="N1586" s="27"/>
      <c r="O1586" s="136"/>
      <c r="P1586" s="1429">
        <f>'5.LO'!E150</f>
        <v>0</v>
      </c>
      <c r="Q1586" s="1430"/>
      <c r="R1586" s="1430"/>
      <c r="S1586" s="1430"/>
      <c r="T1586" s="1430"/>
      <c r="U1586" s="1431"/>
      <c r="V1586" s="52"/>
    </row>
    <row r="1587" spans="1:22" s="141" customFormat="1" ht="14.25" customHeight="1">
      <c r="A1587" s="82"/>
      <c r="B1587" s="38"/>
      <c r="C1587" s="38"/>
      <c r="D1587" s="28"/>
      <c r="E1587" s="15"/>
      <c r="F1587" s="19" t="s">
        <v>928</v>
      </c>
      <c r="G1587" s="135"/>
      <c r="H1587" s="27"/>
      <c r="I1587" s="27"/>
      <c r="J1587" s="27"/>
      <c r="K1587" s="27"/>
      <c r="L1587" s="27"/>
      <c r="M1587" s="135"/>
      <c r="N1587" s="27"/>
      <c r="O1587" s="136"/>
      <c r="P1587" s="1417">
        <f>'5.LO'!E151</f>
        <v>0</v>
      </c>
      <c r="Q1587" s="1418"/>
      <c r="R1587" s="1418"/>
      <c r="S1587" s="1418"/>
      <c r="T1587" s="1418"/>
      <c r="U1587" s="1419"/>
      <c r="V1587" s="52"/>
    </row>
    <row r="1588" spans="1:22" s="141" customFormat="1" ht="21.75" customHeight="1">
      <c r="A1588" s="82"/>
      <c r="B1588" s="38"/>
      <c r="C1588" s="38"/>
      <c r="D1588" s="1665" t="s">
        <v>1179</v>
      </c>
      <c r="E1588" s="1666"/>
      <c r="F1588" s="1666"/>
      <c r="G1588" s="1666"/>
      <c r="H1588" s="1666"/>
      <c r="I1588" s="1666"/>
      <c r="J1588" s="1666"/>
      <c r="K1588" s="1666"/>
      <c r="L1588" s="1666"/>
      <c r="M1588" s="1666"/>
      <c r="N1588" s="1666"/>
      <c r="O1588" s="1667"/>
      <c r="P1588" s="1429">
        <f>P1574+P1573+P1571</f>
        <v>0</v>
      </c>
      <c r="Q1588" s="1430"/>
      <c r="R1588" s="1430"/>
      <c r="S1588" s="1430"/>
      <c r="T1588" s="1430"/>
      <c r="U1588" s="1431"/>
      <c r="V1588" s="52"/>
    </row>
    <row r="1589" spans="1:22" s="141" customFormat="1" ht="7.5" customHeight="1">
      <c r="A1589" s="82"/>
      <c r="B1589" s="38"/>
      <c r="C1589" s="38"/>
      <c r="D1589" s="35"/>
      <c r="E1589" s="35"/>
      <c r="F1589" s="35"/>
      <c r="G1589" s="35"/>
      <c r="H1589" s="35"/>
      <c r="I1589" s="35"/>
      <c r="J1589" s="35"/>
      <c r="K1589" s="35"/>
      <c r="L1589" s="35"/>
      <c r="M1589" s="35"/>
      <c r="N1589" s="35"/>
      <c r="O1589" s="35"/>
      <c r="P1589" s="36"/>
      <c r="Q1589" s="36"/>
      <c r="R1589" s="36"/>
      <c r="S1589" s="36"/>
      <c r="T1589" s="36"/>
      <c r="U1589" s="702"/>
      <c r="V1589" s="52"/>
    </row>
    <row r="1590" spans="1:22" s="141" customFormat="1" ht="17.25" customHeight="1">
      <c r="A1590" s="82"/>
      <c r="B1590" s="1423" t="s">
        <v>1681</v>
      </c>
      <c r="C1590" s="1423"/>
      <c r="D1590" s="1423"/>
      <c r="E1590" s="1423"/>
      <c r="F1590" s="1423"/>
      <c r="G1590" s="1423"/>
      <c r="H1590" s="1423"/>
      <c r="I1590" s="1423"/>
      <c r="J1590" s="1423"/>
      <c r="K1590" s="1423"/>
      <c r="L1590" s="1423"/>
      <c r="M1590" s="1423"/>
      <c r="N1590" s="1423"/>
      <c r="O1590" s="1423"/>
      <c r="P1590" s="1423"/>
      <c r="Q1590" s="1423"/>
      <c r="R1590" s="1423"/>
      <c r="S1590" s="1423"/>
      <c r="T1590" s="1423"/>
      <c r="U1590" s="1423"/>
      <c r="V1590" s="52"/>
    </row>
    <row r="1591" spans="1:22" s="141" customFormat="1" ht="63.75" customHeight="1">
      <c r="A1591" s="82"/>
      <c r="C1591" s="1091" t="str">
        <f>"Beban sesuai PSAP 12 adalah kewajiban yang diakui sebagai pengurangan nilai kekayaan bersih. Adapun realisasi beban Tahun Anggaran "&amp;'2.ISIAN DATA SKPD'!D11&amp;" dan tahun "&amp;'2.ISIAN DATA SKPD'!D12&amp;" adalah masing-masing sebesar Rp. "&amp;FIXED(J1608)&amp;",- dan  Rp. "&amp;FIXED(P1608)&amp;".  "</f>
        <v>Beban sesuai PSAP 12 adalah kewajiban yang diakui sebagai pengurangan nilai kekayaan bersih. Adapun realisasi beban Tahun Anggaran 2017 dan tahun 2016 adalah masing-masing sebesar Rp. 5,195,079,483.00,- dan  Rp. 0.00.  </v>
      </c>
      <c r="D1591" s="1091"/>
      <c r="E1591" s="1091"/>
      <c r="F1591" s="1091"/>
      <c r="G1591" s="1091"/>
      <c r="H1591" s="1091"/>
      <c r="I1591" s="1091"/>
      <c r="J1591" s="1091"/>
      <c r="K1591" s="1091"/>
      <c r="L1591" s="1091"/>
      <c r="M1591" s="1091"/>
      <c r="N1591" s="1091"/>
      <c r="O1591" s="1091"/>
      <c r="P1591" s="1091"/>
      <c r="Q1591" s="1091"/>
      <c r="R1591" s="1091"/>
      <c r="S1591" s="1091"/>
      <c r="T1591" s="1091"/>
      <c r="U1591" s="1091"/>
      <c r="V1591" s="52"/>
    </row>
    <row r="1592" spans="1:22" s="141" customFormat="1" ht="29.25" customHeight="1">
      <c r="A1592" s="82"/>
      <c r="C1592" s="1091" t="str">
        <f>"Mengalami kenaikan/penurunan sebesar Rp. 0 atau sebesar 0 % dari tahun "&amp;'2.ISIAN DATA SKPD'!D12&amp;"."</f>
        <v>Mengalami kenaikan/penurunan sebesar Rp. 0 atau sebesar 0 % dari tahun 2016.</v>
      </c>
      <c r="D1592" s="1091"/>
      <c r="E1592" s="1091"/>
      <c r="F1592" s="1091"/>
      <c r="G1592" s="1091"/>
      <c r="H1592" s="1091"/>
      <c r="I1592" s="1091"/>
      <c r="J1592" s="1091"/>
      <c r="K1592" s="1091"/>
      <c r="L1592" s="1091"/>
      <c r="M1592" s="1091"/>
      <c r="N1592" s="1091"/>
      <c r="O1592" s="1091"/>
      <c r="P1592" s="1091"/>
      <c r="Q1592" s="1091"/>
      <c r="R1592" s="1091"/>
      <c r="S1592" s="1091"/>
      <c r="T1592" s="1091"/>
      <c r="U1592" s="1091"/>
      <c r="V1592" s="52"/>
    </row>
    <row r="1593" spans="1:22" s="141" customFormat="1" ht="8.25" customHeight="1">
      <c r="A1593" s="82"/>
      <c r="C1593" s="702"/>
      <c r="D1593" s="702"/>
      <c r="E1593" s="702"/>
      <c r="F1593" s="702"/>
      <c r="G1593" s="702"/>
      <c r="H1593" s="702"/>
      <c r="I1593" s="702"/>
      <c r="J1593" s="702"/>
      <c r="K1593" s="702"/>
      <c r="L1593" s="702"/>
      <c r="M1593" s="702"/>
      <c r="N1593" s="702"/>
      <c r="O1593" s="702"/>
      <c r="P1593" s="702"/>
      <c r="Q1593" s="702"/>
      <c r="R1593" s="702"/>
      <c r="S1593" s="702"/>
      <c r="T1593" s="702"/>
      <c r="U1593" s="702"/>
      <c r="V1593" s="52"/>
    </row>
    <row r="1594" spans="1:22" s="141" customFormat="1" ht="21.75" customHeight="1">
      <c r="A1594" s="82"/>
      <c r="B1594" s="38"/>
      <c r="C1594" s="1088" t="str">
        <f>"Rincian Beban  Tahun "&amp;'2.ISIAN DATA SKPD'!D11&amp;" dan "&amp;'2.ISIAN DATA SKPD'!D12&amp;""</f>
        <v>Rincian Beban  Tahun 2017 dan 2016</v>
      </c>
      <c r="D1594" s="1088"/>
      <c r="E1594" s="1088"/>
      <c r="F1594" s="1088"/>
      <c r="G1594" s="1088"/>
      <c r="H1594" s="1088"/>
      <c r="I1594" s="1088"/>
      <c r="J1594" s="1088"/>
      <c r="K1594" s="1088"/>
      <c r="L1594" s="1088"/>
      <c r="M1594" s="1088"/>
      <c r="N1594" s="1088"/>
      <c r="O1594" s="1088"/>
      <c r="P1594" s="1509"/>
      <c r="Q1594" s="1509"/>
      <c r="R1594" s="1509"/>
      <c r="S1594" s="1509"/>
      <c r="T1594" s="1509"/>
      <c r="U1594" s="38"/>
      <c r="V1594" s="52"/>
    </row>
    <row r="1595" spans="1:32" s="141" customFormat="1" ht="21.75" customHeight="1">
      <c r="A1595" s="82"/>
      <c r="B1595" s="38"/>
      <c r="C1595" s="1126" t="s">
        <v>9</v>
      </c>
      <c r="D1595" s="1127"/>
      <c r="E1595" s="1127"/>
      <c r="F1595" s="1127"/>
      <c r="G1595" s="1127"/>
      <c r="H1595" s="1127"/>
      <c r="I1595" s="1128"/>
      <c r="J1595" s="1126" t="str">
        <f>G1398</f>
        <v>TA 2017</v>
      </c>
      <c r="K1595" s="1127"/>
      <c r="L1595" s="1127"/>
      <c r="M1595" s="1127"/>
      <c r="N1595" s="1127"/>
      <c r="O1595" s="1128"/>
      <c r="P1595" s="1126" t="str">
        <f>M1398</f>
        <v>TA 2016</v>
      </c>
      <c r="Q1595" s="1127"/>
      <c r="R1595" s="1127"/>
      <c r="S1595" s="1127"/>
      <c r="T1595" s="1127"/>
      <c r="U1595" s="1128"/>
      <c r="V1595" s="1074"/>
      <c r="W1595" s="1073"/>
      <c r="X1595" s="1073"/>
      <c r="Y1595" s="1045" t="s">
        <v>1677</v>
      </c>
      <c r="Z1595" s="1073"/>
      <c r="AA1595" s="1073"/>
      <c r="AB1595" s="1073"/>
      <c r="AC1595" s="1085" t="s">
        <v>1676</v>
      </c>
      <c r="AD1595" s="1086"/>
      <c r="AE1595" s="1086"/>
      <c r="AF1595" s="1086"/>
    </row>
    <row r="1596" spans="1:32" s="141" customFormat="1" ht="14.25" customHeight="1">
      <c r="A1596" s="801"/>
      <c r="B1596" s="38"/>
      <c r="C1596" s="802" t="s">
        <v>47</v>
      </c>
      <c r="D1596" s="803"/>
      <c r="E1596" s="803"/>
      <c r="F1596" s="803"/>
      <c r="G1596" s="803"/>
      <c r="H1596" s="803"/>
      <c r="I1596" s="803"/>
      <c r="J1596" s="1304">
        <f>'5.LO'!E155</f>
        <v>2374611800</v>
      </c>
      <c r="K1596" s="1305"/>
      <c r="L1596" s="1305"/>
      <c r="M1596" s="1305"/>
      <c r="N1596" s="1305"/>
      <c r="O1596" s="1306"/>
      <c r="P1596" s="1304">
        <f>'5.LO'!F155</f>
        <v>0</v>
      </c>
      <c r="Q1596" s="1305"/>
      <c r="R1596" s="1305"/>
      <c r="S1596" s="1305"/>
      <c r="T1596" s="1305"/>
      <c r="U1596" s="1306"/>
      <c r="V1596" s="1072"/>
      <c r="W1596" s="1073"/>
      <c r="X1596" s="1073"/>
      <c r="Y1596" s="1045" t="e">
        <f>(J1596-P1596)/P1596*100</f>
        <v>#DIV/0!</v>
      </c>
      <c r="Z1596" s="1073"/>
      <c r="AA1596" s="1073"/>
      <c r="AB1596" s="1073"/>
      <c r="AC1596" s="1045">
        <f>J1596-P1596</f>
        <v>2374611800</v>
      </c>
      <c r="AD1596" s="1046"/>
      <c r="AE1596" s="1046"/>
      <c r="AF1596" s="1046"/>
    </row>
    <row r="1597" spans="1:32" s="141" customFormat="1" ht="14.25" customHeight="1">
      <c r="A1597" s="801"/>
      <c r="B1597" s="38"/>
      <c r="C1597" s="802" t="s">
        <v>96</v>
      </c>
      <c r="D1597" s="803"/>
      <c r="E1597" s="803"/>
      <c r="F1597" s="803"/>
      <c r="G1597" s="803"/>
      <c r="H1597" s="803"/>
      <c r="I1597" s="803"/>
      <c r="J1597" s="1304">
        <f>'5.LO'!E221</f>
        <v>31037425</v>
      </c>
      <c r="K1597" s="1305"/>
      <c r="L1597" s="1305"/>
      <c r="M1597" s="1305"/>
      <c r="N1597" s="1305"/>
      <c r="O1597" s="1306"/>
      <c r="P1597" s="1304">
        <f>'5.LO'!F221</f>
        <v>0</v>
      </c>
      <c r="Q1597" s="1305"/>
      <c r="R1597" s="1305"/>
      <c r="S1597" s="1305"/>
      <c r="T1597" s="1305"/>
      <c r="U1597" s="1306"/>
      <c r="V1597" s="1072"/>
      <c r="W1597" s="1073"/>
      <c r="X1597" s="1073"/>
      <c r="Y1597" s="1045" t="e">
        <f aca="true" t="shared" si="42" ref="Y1597:Y1608">(J1597-P1597)/P1597*100</f>
        <v>#DIV/0!</v>
      </c>
      <c r="Z1597" s="1073"/>
      <c r="AA1597" s="1073"/>
      <c r="AB1597" s="1073"/>
      <c r="AC1597" s="1045">
        <f aca="true" t="shared" si="43" ref="AC1597:AC1608">J1597-P1597</f>
        <v>31037425</v>
      </c>
      <c r="AD1597" s="1046"/>
      <c r="AE1597" s="1046"/>
      <c r="AF1597" s="1046"/>
    </row>
    <row r="1598" spans="1:32" s="141" customFormat="1" ht="14.25" customHeight="1">
      <c r="A1598" s="801"/>
      <c r="B1598" s="38"/>
      <c r="C1598" s="802" t="s">
        <v>52</v>
      </c>
      <c r="D1598" s="803"/>
      <c r="E1598" s="803"/>
      <c r="F1598" s="803"/>
      <c r="G1598" s="803"/>
      <c r="H1598" s="803"/>
      <c r="I1598" s="803"/>
      <c r="J1598" s="1304">
        <f>'5.LO'!E254</f>
        <v>255431634</v>
      </c>
      <c r="K1598" s="1305"/>
      <c r="L1598" s="1305"/>
      <c r="M1598" s="1305"/>
      <c r="N1598" s="1305"/>
      <c r="O1598" s="1306"/>
      <c r="P1598" s="1304">
        <f>'5.LO'!F254</f>
        <v>0</v>
      </c>
      <c r="Q1598" s="1305"/>
      <c r="R1598" s="1305"/>
      <c r="S1598" s="1305"/>
      <c r="T1598" s="1305"/>
      <c r="U1598" s="1306"/>
      <c r="V1598" s="1072"/>
      <c r="W1598" s="1073"/>
      <c r="X1598" s="1073"/>
      <c r="Y1598" s="1045" t="e">
        <f t="shared" si="42"/>
        <v>#DIV/0!</v>
      </c>
      <c r="Z1598" s="1073"/>
      <c r="AA1598" s="1073"/>
      <c r="AB1598" s="1073"/>
      <c r="AC1598" s="1045">
        <f t="shared" si="43"/>
        <v>255431634</v>
      </c>
      <c r="AD1598" s="1046"/>
      <c r="AE1598" s="1046"/>
      <c r="AF1598" s="1046"/>
    </row>
    <row r="1599" spans="1:32" s="141" customFormat="1" ht="14.25" customHeight="1">
      <c r="A1599" s="801"/>
      <c r="B1599" s="38"/>
      <c r="C1599" s="802" t="s">
        <v>48</v>
      </c>
      <c r="D1599" s="803"/>
      <c r="E1599" s="803"/>
      <c r="F1599" s="803"/>
      <c r="G1599" s="803"/>
      <c r="H1599" s="803"/>
      <c r="I1599" s="803"/>
      <c r="J1599" s="1304">
        <f>'5.LO'!E362</f>
        <v>26517000</v>
      </c>
      <c r="K1599" s="1305"/>
      <c r="L1599" s="1305"/>
      <c r="M1599" s="1305"/>
      <c r="N1599" s="1305"/>
      <c r="O1599" s="1306"/>
      <c r="P1599" s="1304">
        <f>'5.LO'!F362</f>
        <v>0</v>
      </c>
      <c r="Q1599" s="1305"/>
      <c r="R1599" s="1305"/>
      <c r="S1599" s="1305"/>
      <c r="T1599" s="1305"/>
      <c r="U1599" s="1306"/>
      <c r="V1599" s="1072"/>
      <c r="W1599" s="1073"/>
      <c r="X1599" s="1073"/>
      <c r="Y1599" s="1045" t="e">
        <f t="shared" si="42"/>
        <v>#DIV/0!</v>
      </c>
      <c r="Z1599" s="1073"/>
      <c r="AA1599" s="1073"/>
      <c r="AB1599" s="1073"/>
      <c r="AC1599" s="1045">
        <f t="shared" si="43"/>
        <v>26517000</v>
      </c>
      <c r="AD1599" s="1046"/>
      <c r="AE1599" s="1046"/>
      <c r="AF1599" s="1046"/>
    </row>
    <row r="1600" spans="1:32" s="141" customFormat="1" ht="14.25" customHeight="1">
      <c r="A1600" s="801"/>
      <c r="B1600" s="38"/>
      <c r="C1600" s="802" t="s">
        <v>98</v>
      </c>
      <c r="D1600" s="803"/>
      <c r="E1600" s="803"/>
      <c r="F1600" s="803"/>
      <c r="G1600" s="803"/>
      <c r="H1600" s="803"/>
      <c r="I1600" s="803"/>
      <c r="J1600" s="1304">
        <f>'5.LO'!E375</f>
        <v>6860000</v>
      </c>
      <c r="K1600" s="1305"/>
      <c r="L1600" s="1305"/>
      <c r="M1600" s="1305"/>
      <c r="N1600" s="1305"/>
      <c r="O1600" s="1306"/>
      <c r="P1600" s="1304">
        <f>'5.LO'!F375</f>
        <v>0</v>
      </c>
      <c r="Q1600" s="1305"/>
      <c r="R1600" s="1305"/>
      <c r="S1600" s="1305"/>
      <c r="T1600" s="1305"/>
      <c r="U1600" s="1306"/>
      <c r="V1600" s="1072"/>
      <c r="W1600" s="1073"/>
      <c r="X1600" s="1073"/>
      <c r="Y1600" s="1045" t="e">
        <f t="shared" si="42"/>
        <v>#DIV/0!</v>
      </c>
      <c r="Z1600" s="1073"/>
      <c r="AA1600" s="1073"/>
      <c r="AB1600" s="1073"/>
      <c r="AC1600" s="1045">
        <f t="shared" si="43"/>
        <v>6860000</v>
      </c>
      <c r="AD1600" s="1046"/>
      <c r="AE1600" s="1046"/>
      <c r="AF1600" s="1046"/>
    </row>
    <row r="1601" spans="1:32" s="141" customFormat="1" ht="14.25" customHeight="1">
      <c r="A1601" s="801"/>
      <c r="B1601" s="38"/>
      <c r="C1601" s="802" t="s">
        <v>797</v>
      </c>
      <c r="D1601" s="803"/>
      <c r="E1601" s="803"/>
      <c r="F1601" s="803"/>
      <c r="G1601" s="803"/>
      <c r="H1601" s="803"/>
      <c r="I1601" s="803"/>
      <c r="J1601" s="1304">
        <f>'5.LO'!E382</f>
        <v>0</v>
      </c>
      <c r="K1601" s="1305"/>
      <c r="L1601" s="1305"/>
      <c r="M1601" s="1305"/>
      <c r="N1601" s="1305"/>
      <c r="O1601" s="1306"/>
      <c r="P1601" s="1304">
        <f>'5.LO'!F382</f>
        <v>0</v>
      </c>
      <c r="Q1601" s="1305"/>
      <c r="R1601" s="1305"/>
      <c r="S1601" s="1305"/>
      <c r="T1601" s="1305"/>
      <c r="U1601" s="1306"/>
      <c r="V1601" s="1072"/>
      <c r="W1601" s="1073"/>
      <c r="X1601" s="1073"/>
      <c r="Y1601" s="1045" t="e">
        <f t="shared" si="42"/>
        <v>#DIV/0!</v>
      </c>
      <c r="Z1601" s="1073"/>
      <c r="AA1601" s="1073"/>
      <c r="AB1601" s="1073"/>
      <c r="AC1601" s="1045">
        <f t="shared" si="43"/>
        <v>0</v>
      </c>
      <c r="AD1601" s="1046"/>
      <c r="AE1601" s="1046"/>
      <c r="AF1601" s="1046"/>
    </row>
    <row r="1602" spans="1:32" s="141" customFormat="1" ht="14.25" customHeight="1">
      <c r="A1602" s="801"/>
      <c r="B1602" s="38"/>
      <c r="C1602" s="802" t="s">
        <v>798</v>
      </c>
      <c r="D1602" s="803"/>
      <c r="E1602" s="803"/>
      <c r="F1602" s="803"/>
      <c r="G1602" s="803"/>
      <c r="H1602" s="803"/>
      <c r="I1602" s="803"/>
      <c r="J1602" s="1304">
        <f>'5.LO'!E383</f>
        <v>0</v>
      </c>
      <c r="K1602" s="1305"/>
      <c r="L1602" s="1305"/>
      <c r="M1602" s="1305"/>
      <c r="N1602" s="1305"/>
      <c r="O1602" s="1306"/>
      <c r="P1602" s="1304">
        <f>'5.LO'!F383</f>
        <v>0</v>
      </c>
      <c r="Q1602" s="1305"/>
      <c r="R1602" s="1305"/>
      <c r="S1602" s="1305"/>
      <c r="T1602" s="1305"/>
      <c r="U1602" s="1306"/>
      <c r="V1602" s="1072"/>
      <c r="W1602" s="1073"/>
      <c r="X1602" s="1073"/>
      <c r="Y1602" s="1045" t="e">
        <f t="shared" si="42"/>
        <v>#DIV/0!</v>
      </c>
      <c r="Z1602" s="1073"/>
      <c r="AA1602" s="1073"/>
      <c r="AB1602" s="1073"/>
      <c r="AC1602" s="1045">
        <f t="shared" si="43"/>
        <v>0</v>
      </c>
      <c r="AD1602" s="1046"/>
      <c r="AE1602" s="1046"/>
      <c r="AF1602" s="1046"/>
    </row>
    <row r="1603" spans="1:32" s="141" customFormat="1" ht="14.25" customHeight="1">
      <c r="A1603" s="801"/>
      <c r="B1603" s="38"/>
      <c r="C1603" s="802" t="s">
        <v>799</v>
      </c>
      <c r="D1603" s="803"/>
      <c r="E1603" s="803"/>
      <c r="F1603" s="803"/>
      <c r="G1603" s="803"/>
      <c r="H1603" s="803"/>
      <c r="I1603" s="803"/>
      <c r="J1603" s="1304">
        <f>'5.LO'!E384</f>
        <v>2138640000</v>
      </c>
      <c r="K1603" s="1305"/>
      <c r="L1603" s="1305"/>
      <c r="M1603" s="1305"/>
      <c r="N1603" s="1305"/>
      <c r="O1603" s="1306"/>
      <c r="P1603" s="1304">
        <f>'5.LO'!F384</f>
        <v>0</v>
      </c>
      <c r="Q1603" s="1305"/>
      <c r="R1603" s="1305"/>
      <c r="S1603" s="1305"/>
      <c r="T1603" s="1305"/>
      <c r="U1603" s="1306"/>
      <c r="V1603" s="1072"/>
      <c r="W1603" s="1073"/>
      <c r="X1603" s="1073"/>
      <c r="Y1603" s="1045" t="e">
        <f t="shared" si="42"/>
        <v>#DIV/0!</v>
      </c>
      <c r="Z1603" s="1073"/>
      <c r="AA1603" s="1073"/>
      <c r="AB1603" s="1073"/>
      <c r="AC1603" s="1045">
        <f t="shared" si="43"/>
        <v>2138640000</v>
      </c>
      <c r="AD1603" s="1046"/>
      <c r="AE1603" s="1046"/>
      <c r="AF1603" s="1046"/>
    </row>
    <row r="1604" spans="1:32" s="141" customFormat="1" ht="14.25" customHeight="1">
      <c r="A1604" s="801"/>
      <c r="B1604" s="38"/>
      <c r="C1604" s="802" t="s">
        <v>49</v>
      </c>
      <c r="D1604" s="803"/>
      <c r="E1604" s="803"/>
      <c r="F1604" s="803"/>
      <c r="G1604" s="803"/>
      <c r="H1604" s="803"/>
      <c r="I1604" s="803"/>
      <c r="J1604" s="1304">
        <f>'5.LO'!E399</f>
        <v>0</v>
      </c>
      <c r="K1604" s="1305"/>
      <c r="L1604" s="1305"/>
      <c r="M1604" s="1305"/>
      <c r="N1604" s="1305"/>
      <c r="O1604" s="1306"/>
      <c r="P1604" s="1304">
        <f>'5.LO'!F399</f>
        <v>0</v>
      </c>
      <c r="Q1604" s="1305"/>
      <c r="R1604" s="1305"/>
      <c r="S1604" s="1305"/>
      <c r="T1604" s="1305"/>
      <c r="U1604" s="1306"/>
      <c r="V1604" s="1072"/>
      <c r="W1604" s="1073"/>
      <c r="X1604" s="1073"/>
      <c r="Y1604" s="1045" t="e">
        <f t="shared" si="42"/>
        <v>#DIV/0!</v>
      </c>
      <c r="Z1604" s="1073"/>
      <c r="AA1604" s="1073"/>
      <c r="AB1604" s="1073"/>
      <c r="AC1604" s="1045">
        <f t="shared" si="43"/>
        <v>0</v>
      </c>
      <c r="AD1604" s="1046"/>
      <c r="AE1604" s="1046"/>
      <c r="AF1604" s="1046"/>
    </row>
    <row r="1605" spans="1:32" s="141" customFormat="1" ht="14.25" customHeight="1">
      <c r="A1605" s="801"/>
      <c r="B1605" s="38"/>
      <c r="C1605" s="802" t="s">
        <v>100</v>
      </c>
      <c r="D1605" s="803"/>
      <c r="E1605" s="803"/>
      <c r="F1605" s="803"/>
      <c r="G1605" s="803"/>
      <c r="H1605" s="803"/>
      <c r="I1605" s="803"/>
      <c r="J1605" s="1304">
        <f>'5.LO'!E405</f>
        <v>361981624</v>
      </c>
      <c r="K1605" s="1305"/>
      <c r="L1605" s="1305"/>
      <c r="M1605" s="1305"/>
      <c r="N1605" s="1305"/>
      <c r="O1605" s="1306"/>
      <c r="P1605" s="1304">
        <f>'5.LO'!F405</f>
        <v>0</v>
      </c>
      <c r="Q1605" s="1305"/>
      <c r="R1605" s="1305"/>
      <c r="S1605" s="1305"/>
      <c r="T1605" s="1305"/>
      <c r="U1605" s="1306"/>
      <c r="V1605" s="1072"/>
      <c r="W1605" s="1073"/>
      <c r="X1605" s="1073"/>
      <c r="Y1605" s="1045" t="e">
        <f t="shared" si="42"/>
        <v>#DIV/0!</v>
      </c>
      <c r="Z1605" s="1073"/>
      <c r="AA1605" s="1073"/>
      <c r="AB1605" s="1073"/>
      <c r="AC1605" s="1045">
        <f t="shared" si="43"/>
        <v>361981624</v>
      </c>
      <c r="AD1605" s="1046"/>
      <c r="AE1605" s="1046"/>
      <c r="AF1605" s="1046"/>
    </row>
    <row r="1606" spans="1:32" s="141" customFormat="1" ht="14.25" customHeight="1">
      <c r="A1606" s="801"/>
      <c r="B1606" s="38"/>
      <c r="C1606" s="802" t="s">
        <v>800</v>
      </c>
      <c r="D1606" s="803"/>
      <c r="E1606" s="803"/>
      <c r="F1606" s="803"/>
      <c r="G1606" s="803"/>
      <c r="H1606" s="803"/>
      <c r="I1606" s="803"/>
      <c r="J1606" s="1304">
        <f>'5.LO'!E410</f>
        <v>0</v>
      </c>
      <c r="K1606" s="1305"/>
      <c r="L1606" s="1305"/>
      <c r="M1606" s="1305"/>
      <c r="N1606" s="1305"/>
      <c r="O1606" s="1306"/>
      <c r="P1606" s="1304">
        <f>'5.LO'!F410</f>
        <v>0</v>
      </c>
      <c r="Q1606" s="1305"/>
      <c r="R1606" s="1305"/>
      <c r="S1606" s="1305"/>
      <c r="T1606" s="1305"/>
      <c r="U1606" s="1306"/>
      <c r="V1606" s="1072"/>
      <c r="W1606" s="1073"/>
      <c r="X1606" s="1073"/>
      <c r="Y1606" s="1045" t="e">
        <f t="shared" si="42"/>
        <v>#DIV/0!</v>
      </c>
      <c r="Z1606" s="1073"/>
      <c r="AA1606" s="1073"/>
      <c r="AB1606" s="1073"/>
      <c r="AC1606" s="1045">
        <f t="shared" si="43"/>
        <v>0</v>
      </c>
      <c r="AD1606" s="1046"/>
      <c r="AE1606" s="1046"/>
      <c r="AF1606" s="1046"/>
    </row>
    <row r="1607" spans="1:32" s="141" customFormat="1" ht="14.25" customHeight="1">
      <c r="A1607" s="801"/>
      <c r="B1607" s="38"/>
      <c r="C1607" s="802" t="s">
        <v>801</v>
      </c>
      <c r="D1607" s="803"/>
      <c r="E1607" s="803"/>
      <c r="F1607" s="803"/>
      <c r="G1607" s="803"/>
      <c r="H1607" s="803"/>
      <c r="I1607" s="803"/>
      <c r="J1607" s="1304">
        <f>'5.LO'!E431</f>
        <v>0</v>
      </c>
      <c r="K1607" s="1305"/>
      <c r="L1607" s="1305"/>
      <c r="M1607" s="1305"/>
      <c r="N1607" s="1305"/>
      <c r="O1607" s="1306"/>
      <c r="P1607" s="1304">
        <f>'5.LO'!F431</f>
        <v>0</v>
      </c>
      <c r="Q1607" s="1305"/>
      <c r="R1607" s="1305"/>
      <c r="S1607" s="1305"/>
      <c r="T1607" s="1305"/>
      <c r="U1607" s="1306"/>
      <c r="V1607" s="1072"/>
      <c r="W1607" s="1073"/>
      <c r="X1607" s="1073"/>
      <c r="Y1607" s="1045" t="e">
        <f t="shared" si="42"/>
        <v>#DIV/0!</v>
      </c>
      <c r="Z1607" s="1073"/>
      <c r="AA1607" s="1073"/>
      <c r="AB1607" s="1073"/>
      <c r="AC1607" s="1045">
        <f t="shared" si="43"/>
        <v>0</v>
      </c>
      <c r="AD1607" s="1046"/>
      <c r="AE1607" s="1046"/>
      <c r="AF1607" s="1046"/>
    </row>
    <row r="1608" spans="1:32" s="141" customFormat="1" ht="21.75" customHeight="1">
      <c r="A1608" s="82"/>
      <c r="B1608" s="38"/>
      <c r="C1608" s="1126" t="s">
        <v>10</v>
      </c>
      <c r="D1608" s="1127"/>
      <c r="E1608" s="1127"/>
      <c r="F1608" s="1127"/>
      <c r="G1608" s="1127"/>
      <c r="H1608" s="1127"/>
      <c r="I1608" s="1128"/>
      <c r="J1608" s="1628">
        <f>SUM(J1596:O1607)</f>
        <v>5195079483</v>
      </c>
      <c r="K1608" s="1629"/>
      <c r="L1608" s="1629"/>
      <c r="M1608" s="1629"/>
      <c r="N1608" s="1629"/>
      <c r="O1608" s="1630"/>
      <c r="P1608" s="1628">
        <f>SUM(P1596:T1607)</f>
        <v>0</v>
      </c>
      <c r="Q1608" s="1629"/>
      <c r="R1608" s="1629"/>
      <c r="S1608" s="1629"/>
      <c r="T1608" s="1629"/>
      <c r="U1608" s="1630"/>
      <c r="V1608" s="1072"/>
      <c r="W1608" s="1073"/>
      <c r="X1608" s="1073"/>
      <c r="Y1608" s="1045" t="e">
        <f t="shared" si="42"/>
        <v>#DIV/0!</v>
      </c>
      <c r="Z1608" s="1073"/>
      <c r="AA1608" s="1073"/>
      <c r="AB1608" s="1073"/>
      <c r="AC1608" s="1045">
        <f t="shared" si="43"/>
        <v>5195079483</v>
      </c>
      <c r="AD1608" s="1046"/>
      <c r="AE1608" s="1046"/>
      <c r="AF1608" s="1046"/>
    </row>
    <row r="1609" spans="1:22" s="141" customFormat="1" ht="9" customHeight="1">
      <c r="A1609" s="82"/>
      <c r="B1609" s="38"/>
      <c r="C1609" s="38"/>
      <c r="D1609" s="38"/>
      <c r="E1609" s="38"/>
      <c r="F1609" s="38"/>
      <c r="G1609" s="38"/>
      <c r="H1609" s="38"/>
      <c r="I1609" s="38"/>
      <c r="J1609" s="38"/>
      <c r="K1609" s="38"/>
      <c r="L1609" s="38"/>
      <c r="M1609" s="38"/>
      <c r="N1609" s="38"/>
      <c r="O1609" s="38"/>
      <c r="P1609" s="38"/>
      <c r="Q1609" s="38"/>
      <c r="R1609" s="38"/>
      <c r="S1609" s="38"/>
      <c r="T1609" s="38"/>
      <c r="U1609" s="38"/>
      <c r="V1609" s="52"/>
    </row>
    <row r="1610" spans="1:22" s="141" customFormat="1" ht="16.5" customHeight="1">
      <c r="A1610" s="650"/>
      <c r="C1610" s="804" t="s">
        <v>767</v>
      </c>
      <c r="D1610" s="1423" t="s">
        <v>47</v>
      </c>
      <c r="E1610" s="1423"/>
      <c r="F1610" s="1423"/>
      <c r="G1610" s="1423"/>
      <c r="H1610" s="1423"/>
      <c r="I1610" s="1423"/>
      <c r="J1610" s="1423"/>
      <c r="K1610" s="1423"/>
      <c r="L1610" s="1423"/>
      <c r="M1610" s="1423"/>
      <c r="N1610" s="1423"/>
      <c r="O1610" s="1423"/>
      <c r="P1610" s="1423"/>
      <c r="Q1610" s="1423"/>
      <c r="R1610" s="1423"/>
      <c r="S1610" s="1423"/>
      <c r="T1610" s="1423"/>
      <c r="U1610" s="1423"/>
      <c r="V1610" s="52"/>
    </row>
    <row r="1611" spans="1:22" s="141" customFormat="1" ht="46.5" customHeight="1">
      <c r="A1611" s="650"/>
      <c r="C1611" s="38"/>
      <c r="D1611" s="1091" t="str">
        <f>"Jumlah Beban Pegawai pada Tahun "&amp;'2.ISIAN DATA SKPD'!D11&amp;" dan tahun "&amp;'2.ISIAN DATA SKPD'!D12&amp;" masing-masing   sebesar Rp. 0 dan 0 mengalami kenaikan/penurunan sebesar Rp. 0 atau sebesar 0 %  dari tahun "&amp;'2.ISIAN DATA SKPD'!D12&amp;"."</f>
        <v>Jumlah Beban Pegawai pada Tahun 2017 dan tahun 2016 masing-masing   sebesar Rp. 0 dan 0 mengalami kenaikan/penurunan sebesar Rp. 0 atau sebesar 0 %  dari tahun 2016.</v>
      </c>
      <c r="E1611" s="1091"/>
      <c r="F1611" s="1091"/>
      <c r="G1611" s="1091"/>
      <c r="H1611" s="1091"/>
      <c r="I1611" s="1091"/>
      <c r="J1611" s="1091"/>
      <c r="K1611" s="1091"/>
      <c r="L1611" s="1091"/>
      <c r="M1611" s="1091"/>
      <c r="N1611" s="1091"/>
      <c r="O1611" s="1091"/>
      <c r="P1611" s="1091"/>
      <c r="Q1611" s="1091"/>
      <c r="R1611" s="1091"/>
      <c r="S1611" s="1091"/>
      <c r="T1611" s="1091"/>
      <c r="U1611" s="1091"/>
      <c r="V1611" s="52"/>
    </row>
    <row r="1612" spans="1:22" s="141" customFormat="1" ht="105" customHeight="1">
      <c r="A1612" s="650"/>
      <c r="C1612" s="38"/>
      <c r="D1612" s="1091" t="s">
        <v>144</v>
      </c>
      <c r="E1612" s="1091"/>
      <c r="F1612" s="1091"/>
      <c r="G1612" s="1091"/>
      <c r="H1612" s="1091"/>
      <c r="I1612" s="1091"/>
      <c r="J1612" s="1091"/>
      <c r="K1612" s="1091"/>
      <c r="L1612" s="1091"/>
      <c r="M1612" s="1091"/>
      <c r="N1612" s="1091"/>
      <c r="O1612" s="1091"/>
      <c r="P1612" s="1091"/>
      <c r="Q1612" s="1091"/>
      <c r="R1612" s="1091"/>
      <c r="S1612" s="1091"/>
      <c r="T1612" s="1091"/>
      <c r="U1612" s="1091"/>
      <c r="V1612" s="52"/>
    </row>
    <row r="1613" spans="1:22" s="141" customFormat="1" ht="17.25" customHeight="1">
      <c r="A1613" s="650"/>
      <c r="C1613" s="56"/>
      <c r="D1613" s="1425" t="str">
        <f>"Rincian Beban Pegawai Tahun "&amp;'2.ISIAN DATA SKPD'!D11&amp;""</f>
        <v>Rincian Beban Pegawai Tahun 2017</v>
      </c>
      <c r="E1613" s="1425"/>
      <c r="F1613" s="1425"/>
      <c r="G1613" s="1425"/>
      <c r="H1613" s="1425"/>
      <c r="I1613" s="1425"/>
      <c r="J1613" s="1425"/>
      <c r="K1613" s="1425"/>
      <c r="L1613" s="1425"/>
      <c r="M1613" s="1425"/>
      <c r="N1613" s="1425"/>
      <c r="O1613" s="1425"/>
      <c r="P1613" s="1425"/>
      <c r="Q1613" s="1425"/>
      <c r="R1613" s="1425"/>
      <c r="S1613" s="1425"/>
      <c r="T1613" s="1425"/>
      <c r="U1613" s="1425"/>
      <c r="V1613" s="52"/>
    </row>
    <row r="1614" spans="1:22" s="141" customFormat="1" ht="22.5" customHeight="1">
      <c r="A1614" s="650"/>
      <c r="D1614" s="1126" t="s">
        <v>1180</v>
      </c>
      <c r="E1614" s="1127"/>
      <c r="F1614" s="1127"/>
      <c r="G1614" s="1127"/>
      <c r="H1614" s="1127"/>
      <c r="I1614" s="1127"/>
      <c r="J1614" s="1127"/>
      <c r="K1614" s="1127"/>
      <c r="L1614" s="1127"/>
      <c r="M1614" s="1127"/>
      <c r="N1614" s="1127"/>
      <c r="O1614" s="1128"/>
      <c r="P1614" s="1324" t="s">
        <v>10</v>
      </c>
      <c r="Q1614" s="1324"/>
      <c r="R1614" s="1324"/>
      <c r="S1614" s="1324"/>
      <c r="T1614" s="1324"/>
      <c r="U1614" s="1324"/>
      <c r="V1614" s="52"/>
    </row>
    <row r="1615" spans="1:31" s="141" customFormat="1" ht="14.25" customHeight="1">
      <c r="A1615" s="650"/>
      <c r="D1615" s="50" t="s">
        <v>1253</v>
      </c>
      <c r="E1615" s="25"/>
      <c r="F1615" s="25"/>
      <c r="G1615" s="25"/>
      <c r="H1615" s="25"/>
      <c r="I1615" s="25"/>
      <c r="J1615" s="25"/>
      <c r="K1615" s="25"/>
      <c r="L1615" s="25"/>
      <c r="M1615" s="25"/>
      <c r="N1615" s="25"/>
      <c r="O1615" s="25"/>
      <c r="P1615" s="1592">
        <f>SUM(P1616:U1636)</f>
        <v>2374611800</v>
      </c>
      <c r="Q1615" s="1593"/>
      <c r="R1615" s="1593"/>
      <c r="S1615" s="1593"/>
      <c r="T1615" s="1593"/>
      <c r="U1615" s="1594"/>
      <c r="V1615" s="40"/>
      <c r="W1615" s="130"/>
      <c r="X1615" s="130"/>
      <c r="Y1615" s="130"/>
      <c r="Z1615" s="130"/>
      <c r="AA1615" s="130"/>
      <c r="AB1615" s="130"/>
      <c r="AC1615" s="130"/>
      <c r="AD1615" s="130"/>
      <c r="AE1615" s="130"/>
    </row>
    <row r="1616" spans="1:31" s="141" customFormat="1" ht="14.25" customHeight="1">
      <c r="A1616" s="650"/>
      <c r="D1616" s="47"/>
      <c r="E1616" s="44" t="s">
        <v>931</v>
      </c>
      <c r="F1616" s="46"/>
      <c r="G1616" s="46"/>
      <c r="H1616" s="46"/>
      <c r="I1616" s="46"/>
      <c r="J1616" s="46"/>
      <c r="K1616" s="46"/>
      <c r="L1616" s="46"/>
      <c r="M1616" s="46"/>
      <c r="N1616" s="46"/>
      <c r="O1616" s="46"/>
      <c r="P1616" s="1129">
        <f>'5.LO'!E157</f>
        <v>2374611800</v>
      </c>
      <c r="Q1616" s="1130"/>
      <c r="R1616" s="1130"/>
      <c r="S1616" s="1130"/>
      <c r="T1616" s="1130"/>
      <c r="U1616" s="1131"/>
      <c r="V1616" s="39"/>
      <c r="W1616" s="130"/>
      <c r="X1616" s="130"/>
      <c r="Y1616" s="130"/>
      <c r="Z1616" s="130"/>
      <c r="AA1616" s="130"/>
      <c r="AB1616" s="130"/>
      <c r="AC1616" s="130"/>
      <c r="AD1616" s="130"/>
      <c r="AE1616" s="130"/>
    </row>
    <row r="1617" spans="1:31" s="141" customFormat="1" ht="14.25" customHeight="1">
      <c r="A1617" s="650"/>
      <c r="D1617" s="47"/>
      <c r="E1617" s="44" t="s">
        <v>932</v>
      </c>
      <c r="F1617" s="46"/>
      <c r="G1617" s="46"/>
      <c r="H1617" s="46"/>
      <c r="I1617" s="46"/>
      <c r="J1617" s="46"/>
      <c r="K1617" s="46"/>
      <c r="L1617" s="46"/>
      <c r="M1617" s="46"/>
      <c r="N1617" s="46"/>
      <c r="O1617" s="46"/>
      <c r="P1617" s="1129">
        <f>'5.LO'!E158</f>
        <v>0</v>
      </c>
      <c r="Q1617" s="1130"/>
      <c r="R1617" s="1130"/>
      <c r="S1617" s="1130"/>
      <c r="T1617" s="1130"/>
      <c r="U1617" s="1131"/>
      <c r="V1617" s="39"/>
      <c r="W1617" s="130"/>
      <c r="X1617" s="130"/>
      <c r="Y1617" s="130"/>
      <c r="Z1617" s="130"/>
      <c r="AA1617" s="130"/>
      <c r="AB1617" s="130"/>
      <c r="AC1617" s="130"/>
      <c r="AD1617" s="130"/>
      <c r="AE1617" s="130"/>
    </row>
    <row r="1618" spans="1:31" s="141" customFormat="1" ht="14.25" customHeight="1">
      <c r="A1618" s="650"/>
      <c r="D1618" s="47"/>
      <c r="E1618" s="44" t="s">
        <v>933</v>
      </c>
      <c r="F1618" s="46"/>
      <c r="G1618" s="46"/>
      <c r="H1618" s="46"/>
      <c r="I1618" s="46"/>
      <c r="J1618" s="46"/>
      <c r="K1618" s="46"/>
      <c r="L1618" s="46"/>
      <c r="M1618" s="46"/>
      <c r="N1618" s="46"/>
      <c r="O1618" s="46"/>
      <c r="P1618" s="1129">
        <f>'5.LO'!E159</f>
        <v>0</v>
      </c>
      <c r="Q1618" s="1130"/>
      <c r="R1618" s="1130"/>
      <c r="S1618" s="1130"/>
      <c r="T1618" s="1130"/>
      <c r="U1618" s="1131"/>
      <c r="V1618" s="39"/>
      <c r="W1618" s="130"/>
      <c r="X1618" s="130"/>
      <c r="Y1618" s="130"/>
      <c r="Z1618" s="130"/>
      <c r="AA1618" s="130"/>
      <c r="AB1618" s="130"/>
      <c r="AC1618" s="130"/>
      <c r="AD1618" s="130"/>
      <c r="AE1618" s="130"/>
    </row>
    <row r="1619" spans="1:31" s="141" customFormat="1" ht="14.25" customHeight="1">
      <c r="A1619" s="650"/>
      <c r="D1619" s="48"/>
      <c r="E1619" s="44" t="s">
        <v>934</v>
      </c>
      <c r="F1619" s="46"/>
      <c r="G1619" s="46"/>
      <c r="H1619" s="46"/>
      <c r="I1619" s="46"/>
      <c r="J1619" s="46"/>
      <c r="K1619" s="46"/>
      <c r="L1619" s="46"/>
      <c r="M1619" s="46"/>
      <c r="N1619" s="46"/>
      <c r="O1619" s="46"/>
      <c r="P1619" s="1129">
        <f>'5.LO'!E160</f>
        <v>0</v>
      </c>
      <c r="Q1619" s="1130"/>
      <c r="R1619" s="1130"/>
      <c r="S1619" s="1130"/>
      <c r="T1619" s="1130"/>
      <c r="U1619" s="1131"/>
      <c r="V1619" s="39"/>
      <c r="W1619" s="130"/>
      <c r="X1619" s="130"/>
      <c r="Y1619" s="130"/>
      <c r="Z1619" s="130"/>
      <c r="AA1619" s="130"/>
      <c r="AB1619" s="130"/>
      <c r="AC1619" s="130"/>
      <c r="AD1619" s="130"/>
      <c r="AE1619" s="130"/>
    </row>
    <row r="1620" spans="1:31" s="141" customFormat="1" ht="14.25" customHeight="1">
      <c r="A1620" s="650"/>
      <c r="D1620" s="47"/>
      <c r="E1620" s="44" t="s">
        <v>935</v>
      </c>
      <c r="F1620" s="46"/>
      <c r="G1620" s="46"/>
      <c r="H1620" s="46"/>
      <c r="I1620" s="46"/>
      <c r="J1620" s="46"/>
      <c r="K1620" s="46"/>
      <c r="L1620" s="46"/>
      <c r="M1620" s="46"/>
      <c r="N1620" s="46"/>
      <c r="O1620" s="46"/>
      <c r="P1620" s="1129">
        <f>'5.LO'!E161</f>
        <v>0</v>
      </c>
      <c r="Q1620" s="1130"/>
      <c r="R1620" s="1130"/>
      <c r="S1620" s="1130"/>
      <c r="T1620" s="1130"/>
      <c r="U1620" s="1131"/>
      <c r="V1620" s="39"/>
      <c r="W1620" s="130"/>
      <c r="X1620" s="130"/>
      <c r="Y1620" s="130"/>
      <c r="Z1620" s="130"/>
      <c r="AA1620" s="130"/>
      <c r="AB1620" s="130"/>
      <c r="AC1620" s="130"/>
      <c r="AD1620" s="130"/>
      <c r="AE1620" s="130"/>
    </row>
    <row r="1621" spans="1:31" s="141" customFormat="1" ht="14.25" customHeight="1">
      <c r="A1621" s="650"/>
      <c r="D1621" s="47"/>
      <c r="E1621" s="44" t="s">
        <v>936</v>
      </c>
      <c r="F1621" s="46"/>
      <c r="G1621" s="46"/>
      <c r="H1621" s="46"/>
      <c r="I1621" s="46"/>
      <c r="J1621" s="46"/>
      <c r="K1621" s="46"/>
      <c r="L1621" s="46"/>
      <c r="M1621" s="46"/>
      <c r="N1621" s="46"/>
      <c r="O1621" s="46"/>
      <c r="P1621" s="1129">
        <f>'5.LO'!E162</f>
        <v>0</v>
      </c>
      <c r="Q1621" s="1130"/>
      <c r="R1621" s="1130"/>
      <c r="S1621" s="1130"/>
      <c r="T1621" s="1130"/>
      <c r="U1621" s="1131"/>
      <c r="V1621" s="39"/>
      <c r="W1621" s="130"/>
      <c r="X1621" s="130"/>
      <c r="Y1621" s="130"/>
      <c r="Z1621" s="130"/>
      <c r="AA1621" s="130"/>
      <c r="AB1621" s="130"/>
      <c r="AC1621" s="130"/>
      <c r="AD1621" s="130"/>
      <c r="AE1621" s="130"/>
    </row>
    <row r="1622" spans="1:31" s="141" customFormat="1" ht="14.25" customHeight="1">
      <c r="A1622" s="650"/>
      <c r="D1622" s="47"/>
      <c r="E1622" s="44" t="s">
        <v>937</v>
      </c>
      <c r="F1622" s="46"/>
      <c r="G1622" s="46"/>
      <c r="H1622" s="46"/>
      <c r="I1622" s="46"/>
      <c r="J1622" s="46"/>
      <c r="K1622" s="46"/>
      <c r="L1622" s="46"/>
      <c r="M1622" s="46"/>
      <c r="N1622" s="46"/>
      <c r="O1622" s="46"/>
      <c r="P1622" s="1129">
        <f>'5.LO'!E163</f>
        <v>0</v>
      </c>
      <c r="Q1622" s="1130"/>
      <c r="R1622" s="1130"/>
      <c r="S1622" s="1130"/>
      <c r="T1622" s="1130"/>
      <c r="U1622" s="1131"/>
      <c r="V1622" s="39"/>
      <c r="W1622" s="130"/>
      <c r="X1622" s="130"/>
      <c r="Y1622" s="130"/>
      <c r="Z1622" s="130"/>
      <c r="AA1622" s="130"/>
      <c r="AB1622" s="130"/>
      <c r="AC1622" s="130"/>
      <c r="AD1622" s="130"/>
      <c r="AE1622" s="130"/>
    </row>
    <row r="1623" spans="1:31" s="141" customFormat="1" ht="14.25" customHeight="1">
      <c r="A1623" s="650"/>
      <c r="D1623" s="47"/>
      <c r="E1623" s="44" t="s">
        <v>938</v>
      </c>
      <c r="F1623" s="46"/>
      <c r="G1623" s="46"/>
      <c r="H1623" s="46"/>
      <c r="I1623" s="46"/>
      <c r="J1623" s="46"/>
      <c r="K1623" s="46"/>
      <c r="L1623" s="46"/>
      <c r="M1623" s="46"/>
      <c r="N1623" s="46"/>
      <c r="O1623" s="46"/>
      <c r="P1623" s="1129">
        <f>'5.LO'!E164</f>
        <v>0</v>
      </c>
      <c r="Q1623" s="1130"/>
      <c r="R1623" s="1130"/>
      <c r="S1623" s="1130"/>
      <c r="T1623" s="1130"/>
      <c r="U1623" s="1131"/>
      <c r="V1623" s="39"/>
      <c r="W1623" s="130"/>
      <c r="X1623" s="130"/>
      <c r="Y1623" s="130"/>
      <c r="Z1623" s="130"/>
      <c r="AA1623" s="130"/>
      <c r="AB1623" s="130"/>
      <c r="AC1623" s="130"/>
      <c r="AD1623" s="130"/>
      <c r="AE1623" s="130"/>
    </row>
    <row r="1624" spans="1:31" s="141" customFormat="1" ht="14.25" customHeight="1">
      <c r="A1624" s="650"/>
      <c r="D1624" s="47"/>
      <c r="E1624" s="44" t="s">
        <v>939</v>
      </c>
      <c r="F1624" s="46"/>
      <c r="G1624" s="46"/>
      <c r="H1624" s="46"/>
      <c r="I1624" s="46"/>
      <c r="J1624" s="46"/>
      <c r="K1624" s="46"/>
      <c r="L1624" s="46"/>
      <c r="M1624" s="46"/>
      <c r="N1624" s="46"/>
      <c r="O1624" s="46"/>
      <c r="P1624" s="1129">
        <f>'5.LO'!E165</f>
        <v>0</v>
      </c>
      <c r="Q1624" s="1130"/>
      <c r="R1624" s="1130"/>
      <c r="S1624" s="1130"/>
      <c r="T1624" s="1130"/>
      <c r="U1624" s="1131"/>
      <c r="V1624" s="39"/>
      <c r="W1624" s="130"/>
      <c r="X1624" s="130"/>
      <c r="Y1624" s="130"/>
      <c r="Z1624" s="130"/>
      <c r="AA1624" s="130"/>
      <c r="AB1624" s="130"/>
      <c r="AC1624" s="130"/>
      <c r="AD1624" s="130"/>
      <c r="AE1624" s="130"/>
    </row>
    <row r="1625" spans="1:31" s="141" customFormat="1" ht="14.25" customHeight="1">
      <c r="A1625" s="650"/>
      <c r="D1625" s="47"/>
      <c r="E1625" s="44" t="s">
        <v>940</v>
      </c>
      <c r="F1625" s="46"/>
      <c r="G1625" s="46"/>
      <c r="H1625" s="46"/>
      <c r="I1625" s="46"/>
      <c r="J1625" s="46"/>
      <c r="K1625" s="46"/>
      <c r="L1625" s="46"/>
      <c r="M1625" s="46"/>
      <c r="N1625" s="46"/>
      <c r="O1625" s="46"/>
      <c r="P1625" s="1129">
        <f>'5.LO'!E166</f>
        <v>0</v>
      </c>
      <c r="Q1625" s="1130"/>
      <c r="R1625" s="1130"/>
      <c r="S1625" s="1130"/>
      <c r="T1625" s="1130"/>
      <c r="U1625" s="1131"/>
      <c r="V1625" s="39"/>
      <c r="W1625" s="130"/>
      <c r="X1625" s="130"/>
      <c r="Y1625" s="130"/>
      <c r="Z1625" s="130"/>
      <c r="AA1625" s="130"/>
      <c r="AB1625" s="130"/>
      <c r="AC1625" s="130"/>
      <c r="AD1625" s="130"/>
      <c r="AE1625" s="130"/>
    </row>
    <row r="1626" spans="1:31" s="141" customFormat="1" ht="14.25" customHeight="1">
      <c r="A1626" s="650"/>
      <c r="D1626" s="47"/>
      <c r="E1626" s="44" t="s">
        <v>941</v>
      </c>
      <c r="F1626" s="46"/>
      <c r="G1626" s="46"/>
      <c r="H1626" s="46"/>
      <c r="I1626" s="46"/>
      <c r="J1626" s="46"/>
      <c r="K1626" s="46"/>
      <c r="L1626" s="46"/>
      <c r="M1626" s="46"/>
      <c r="N1626" s="46"/>
      <c r="O1626" s="46"/>
      <c r="P1626" s="1129">
        <f>'5.LO'!E167</f>
        <v>0</v>
      </c>
      <c r="Q1626" s="1130"/>
      <c r="R1626" s="1130"/>
      <c r="S1626" s="1130"/>
      <c r="T1626" s="1130"/>
      <c r="U1626" s="1131"/>
      <c r="V1626" s="39"/>
      <c r="W1626" s="130"/>
      <c r="X1626" s="130"/>
      <c r="Y1626" s="130"/>
      <c r="Z1626" s="130"/>
      <c r="AA1626" s="130"/>
      <c r="AB1626" s="130"/>
      <c r="AC1626" s="130"/>
      <c r="AD1626" s="130"/>
      <c r="AE1626" s="130"/>
    </row>
    <row r="1627" spans="1:31" s="141" customFormat="1" ht="14.25" customHeight="1">
      <c r="A1627" s="650"/>
      <c r="D1627" s="47"/>
      <c r="E1627" s="44" t="s">
        <v>942</v>
      </c>
      <c r="F1627" s="46"/>
      <c r="G1627" s="46"/>
      <c r="H1627" s="46"/>
      <c r="I1627" s="46"/>
      <c r="J1627" s="46"/>
      <c r="K1627" s="46"/>
      <c r="L1627" s="46"/>
      <c r="M1627" s="46"/>
      <c r="N1627" s="46"/>
      <c r="O1627" s="46"/>
      <c r="P1627" s="1129">
        <f>'5.LO'!E168</f>
        <v>0</v>
      </c>
      <c r="Q1627" s="1130"/>
      <c r="R1627" s="1130"/>
      <c r="S1627" s="1130"/>
      <c r="T1627" s="1130"/>
      <c r="U1627" s="1131"/>
      <c r="V1627" s="39"/>
      <c r="W1627" s="130"/>
      <c r="X1627" s="130"/>
      <c r="Y1627" s="130"/>
      <c r="Z1627" s="130"/>
      <c r="AA1627" s="130"/>
      <c r="AB1627" s="130"/>
      <c r="AC1627" s="130"/>
      <c r="AD1627" s="130"/>
      <c r="AE1627" s="130"/>
    </row>
    <row r="1628" spans="1:31" s="141" customFormat="1" ht="14.25" customHeight="1">
      <c r="A1628" s="650"/>
      <c r="D1628" s="48"/>
      <c r="E1628" s="44" t="s">
        <v>943</v>
      </c>
      <c r="F1628" s="46"/>
      <c r="G1628" s="46"/>
      <c r="H1628" s="46"/>
      <c r="I1628" s="46"/>
      <c r="J1628" s="46"/>
      <c r="K1628" s="46"/>
      <c r="L1628" s="46"/>
      <c r="M1628" s="46"/>
      <c r="N1628" s="46"/>
      <c r="O1628" s="46"/>
      <c r="P1628" s="1129">
        <f>'5.LO'!E169</f>
        <v>0</v>
      </c>
      <c r="Q1628" s="1130"/>
      <c r="R1628" s="1130"/>
      <c r="S1628" s="1130"/>
      <c r="T1628" s="1130"/>
      <c r="U1628" s="1131"/>
      <c r="V1628" s="39"/>
      <c r="W1628" s="130"/>
      <c r="X1628" s="130"/>
      <c r="Y1628" s="130"/>
      <c r="Z1628" s="130"/>
      <c r="AA1628" s="130"/>
      <c r="AB1628" s="130"/>
      <c r="AC1628" s="130"/>
      <c r="AD1628" s="130"/>
      <c r="AE1628" s="130"/>
    </row>
    <row r="1629" spans="1:31" s="141" customFormat="1" ht="14.25" customHeight="1">
      <c r="A1629" s="650"/>
      <c r="D1629" s="48"/>
      <c r="E1629" s="44" t="s">
        <v>944</v>
      </c>
      <c r="F1629" s="46"/>
      <c r="G1629" s="46"/>
      <c r="H1629" s="46"/>
      <c r="I1629" s="46"/>
      <c r="J1629" s="46"/>
      <c r="K1629" s="46"/>
      <c r="L1629" s="46"/>
      <c r="M1629" s="46"/>
      <c r="N1629" s="46"/>
      <c r="O1629" s="46"/>
      <c r="P1629" s="1129">
        <f>'5.LO'!E170</f>
        <v>0</v>
      </c>
      <c r="Q1629" s="1130"/>
      <c r="R1629" s="1130"/>
      <c r="S1629" s="1130"/>
      <c r="T1629" s="1130"/>
      <c r="U1629" s="1131"/>
      <c r="V1629" s="39"/>
      <c r="W1629" s="130"/>
      <c r="X1629" s="130"/>
      <c r="Y1629" s="130"/>
      <c r="Z1629" s="130"/>
      <c r="AA1629" s="130"/>
      <c r="AB1629" s="130"/>
      <c r="AC1629" s="130"/>
      <c r="AD1629" s="130"/>
      <c r="AE1629" s="130"/>
    </row>
    <row r="1630" spans="1:31" s="141" customFormat="1" ht="14.25" customHeight="1">
      <c r="A1630" s="650"/>
      <c r="D1630" s="48"/>
      <c r="E1630" s="44" t="s">
        <v>945</v>
      </c>
      <c r="F1630" s="46"/>
      <c r="G1630" s="46"/>
      <c r="H1630" s="46"/>
      <c r="I1630" s="46"/>
      <c r="J1630" s="46"/>
      <c r="K1630" s="46"/>
      <c r="L1630" s="46"/>
      <c r="M1630" s="46"/>
      <c r="N1630" s="46"/>
      <c r="O1630" s="46"/>
      <c r="P1630" s="1129">
        <f>'5.LO'!E171</f>
        <v>0</v>
      </c>
      <c r="Q1630" s="1130"/>
      <c r="R1630" s="1130"/>
      <c r="S1630" s="1130"/>
      <c r="T1630" s="1130"/>
      <c r="U1630" s="1131"/>
      <c r="V1630" s="39"/>
      <c r="W1630" s="130"/>
      <c r="X1630" s="130"/>
      <c r="Y1630" s="130"/>
      <c r="Z1630" s="130"/>
      <c r="AA1630" s="130"/>
      <c r="AB1630" s="130"/>
      <c r="AC1630" s="130"/>
      <c r="AD1630" s="130"/>
      <c r="AE1630" s="130"/>
    </row>
    <row r="1631" spans="1:31" s="141" customFormat="1" ht="14.25" customHeight="1">
      <c r="A1631" s="650"/>
      <c r="D1631" s="48"/>
      <c r="E1631" s="44" t="s">
        <v>946</v>
      </c>
      <c r="F1631" s="46"/>
      <c r="G1631" s="46"/>
      <c r="H1631" s="46"/>
      <c r="I1631" s="46"/>
      <c r="J1631" s="46"/>
      <c r="K1631" s="46"/>
      <c r="L1631" s="46"/>
      <c r="M1631" s="46"/>
      <c r="N1631" s="46"/>
      <c r="O1631" s="46"/>
      <c r="P1631" s="1129">
        <f>'5.LO'!E172</f>
        <v>0</v>
      </c>
      <c r="Q1631" s="1130"/>
      <c r="R1631" s="1130"/>
      <c r="S1631" s="1130"/>
      <c r="T1631" s="1130"/>
      <c r="U1631" s="1131"/>
      <c r="V1631" s="39"/>
      <c r="W1631" s="130"/>
      <c r="X1631" s="130"/>
      <c r="Y1631" s="130"/>
      <c r="Z1631" s="130"/>
      <c r="AA1631" s="130"/>
      <c r="AB1631" s="130"/>
      <c r="AC1631" s="130"/>
      <c r="AD1631" s="130"/>
      <c r="AE1631" s="130"/>
    </row>
    <row r="1632" spans="1:31" s="141" customFormat="1" ht="14.25" customHeight="1">
      <c r="A1632" s="650"/>
      <c r="D1632" s="48"/>
      <c r="E1632" s="44" t="s">
        <v>947</v>
      </c>
      <c r="F1632" s="46"/>
      <c r="G1632" s="46"/>
      <c r="H1632" s="46"/>
      <c r="I1632" s="46"/>
      <c r="J1632" s="46"/>
      <c r="K1632" s="46"/>
      <c r="L1632" s="46"/>
      <c r="M1632" s="46"/>
      <c r="N1632" s="46"/>
      <c r="O1632" s="46"/>
      <c r="P1632" s="1129">
        <f>'5.LO'!E173</f>
        <v>0</v>
      </c>
      <c r="Q1632" s="1130"/>
      <c r="R1632" s="1130"/>
      <c r="S1632" s="1130"/>
      <c r="T1632" s="1130"/>
      <c r="U1632" s="1131"/>
      <c r="V1632" s="39"/>
      <c r="W1632" s="130"/>
      <c r="X1632" s="130"/>
      <c r="Y1632" s="130"/>
      <c r="Z1632" s="130"/>
      <c r="AA1632" s="130"/>
      <c r="AB1632" s="130"/>
      <c r="AC1632" s="130"/>
      <c r="AD1632" s="130"/>
      <c r="AE1632" s="130"/>
    </row>
    <row r="1633" spans="1:31" s="141" customFormat="1" ht="14.25" customHeight="1">
      <c r="A1633" s="650"/>
      <c r="D1633" s="47"/>
      <c r="E1633" s="44" t="s">
        <v>948</v>
      </c>
      <c r="F1633" s="46"/>
      <c r="G1633" s="46"/>
      <c r="H1633" s="46"/>
      <c r="I1633" s="46"/>
      <c r="J1633" s="46"/>
      <c r="K1633" s="46"/>
      <c r="L1633" s="46"/>
      <c r="M1633" s="46"/>
      <c r="N1633" s="46"/>
      <c r="O1633" s="46"/>
      <c r="P1633" s="1129">
        <f>'5.LO'!E174</f>
        <v>0</v>
      </c>
      <c r="Q1633" s="1130"/>
      <c r="R1633" s="1130"/>
      <c r="S1633" s="1130"/>
      <c r="T1633" s="1130"/>
      <c r="U1633" s="1131"/>
      <c r="V1633" s="39"/>
      <c r="W1633" s="130"/>
      <c r="X1633" s="130"/>
      <c r="Y1633" s="130"/>
      <c r="Z1633" s="130"/>
      <c r="AA1633" s="130"/>
      <c r="AB1633" s="130"/>
      <c r="AC1633" s="130"/>
      <c r="AD1633" s="130"/>
      <c r="AE1633" s="130"/>
    </row>
    <row r="1634" spans="1:31" s="141" customFormat="1" ht="14.25" customHeight="1">
      <c r="A1634" s="650"/>
      <c r="D1634" s="47"/>
      <c r="E1634" s="44" t="s">
        <v>949</v>
      </c>
      <c r="F1634" s="46"/>
      <c r="G1634" s="46"/>
      <c r="H1634" s="46"/>
      <c r="I1634" s="46"/>
      <c r="J1634" s="46"/>
      <c r="K1634" s="46"/>
      <c r="L1634" s="46"/>
      <c r="M1634" s="46"/>
      <c r="N1634" s="46"/>
      <c r="O1634" s="46"/>
      <c r="P1634" s="1129">
        <f>'5.LO'!E175</f>
        <v>0</v>
      </c>
      <c r="Q1634" s="1130"/>
      <c r="R1634" s="1130"/>
      <c r="S1634" s="1130"/>
      <c r="T1634" s="1130"/>
      <c r="U1634" s="1131"/>
      <c r="V1634" s="39"/>
      <c r="W1634" s="130"/>
      <c r="X1634" s="130"/>
      <c r="Y1634" s="130"/>
      <c r="Z1634" s="130"/>
      <c r="AA1634" s="130"/>
      <c r="AB1634" s="130"/>
      <c r="AC1634" s="130"/>
      <c r="AD1634" s="130"/>
      <c r="AE1634" s="130"/>
    </row>
    <row r="1635" spans="1:31" s="141" customFormat="1" ht="14.25" customHeight="1">
      <c r="A1635" s="650"/>
      <c r="D1635" s="48"/>
      <c r="E1635" s="44" t="s">
        <v>950</v>
      </c>
      <c r="F1635" s="46"/>
      <c r="G1635" s="46"/>
      <c r="H1635" s="46"/>
      <c r="I1635" s="46"/>
      <c r="J1635" s="46"/>
      <c r="K1635" s="46"/>
      <c r="L1635" s="46"/>
      <c r="M1635" s="46"/>
      <c r="N1635" s="46"/>
      <c r="O1635" s="46"/>
      <c r="P1635" s="1129">
        <f>'5.LO'!E176</f>
        <v>0</v>
      </c>
      <c r="Q1635" s="1130"/>
      <c r="R1635" s="1130"/>
      <c r="S1635" s="1130"/>
      <c r="T1635" s="1130"/>
      <c r="U1635" s="1131"/>
      <c r="V1635" s="39"/>
      <c r="W1635" s="130"/>
      <c r="X1635" s="130"/>
      <c r="Y1635" s="130"/>
      <c r="Z1635" s="130"/>
      <c r="AA1635" s="130"/>
      <c r="AB1635" s="130"/>
      <c r="AC1635" s="130"/>
      <c r="AD1635" s="130"/>
      <c r="AE1635" s="130"/>
    </row>
    <row r="1636" spans="1:31" s="141" customFormat="1" ht="14.25" customHeight="1">
      <c r="A1636" s="650"/>
      <c r="D1636" s="47"/>
      <c r="E1636" s="44" t="s">
        <v>951</v>
      </c>
      <c r="F1636" s="46"/>
      <c r="G1636" s="46"/>
      <c r="H1636" s="46"/>
      <c r="I1636" s="46"/>
      <c r="J1636" s="46"/>
      <c r="K1636" s="46"/>
      <c r="L1636" s="46"/>
      <c r="M1636" s="46"/>
      <c r="N1636" s="46"/>
      <c r="O1636" s="46"/>
      <c r="P1636" s="1129">
        <f>'5.LO'!E177</f>
        <v>0</v>
      </c>
      <c r="Q1636" s="1130"/>
      <c r="R1636" s="1130"/>
      <c r="S1636" s="1130"/>
      <c r="T1636" s="1130"/>
      <c r="U1636" s="1131"/>
      <c r="V1636" s="39"/>
      <c r="W1636" s="130"/>
      <c r="X1636" s="130"/>
      <c r="Y1636" s="130"/>
      <c r="Z1636" s="130"/>
      <c r="AA1636" s="130"/>
      <c r="AB1636" s="130"/>
      <c r="AC1636" s="130"/>
      <c r="AD1636" s="130"/>
      <c r="AE1636" s="130"/>
    </row>
    <row r="1637" spans="1:31" s="141" customFormat="1" ht="14.25" customHeight="1">
      <c r="A1637" s="650"/>
      <c r="D1637" s="45" t="s">
        <v>1254</v>
      </c>
      <c r="E1637" s="43"/>
      <c r="F1637" s="46"/>
      <c r="G1637" s="46"/>
      <c r="H1637" s="46"/>
      <c r="I1637" s="46"/>
      <c r="J1637" s="46"/>
      <c r="K1637" s="46"/>
      <c r="L1637" s="46"/>
      <c r="M1637" s="46"/>
      <c r="N1637" s="46"/>
      <c r="O1637" s="46"/>
      <c r="P1637" s="1592">
        <f>P1638</f>
        <v>0</v>
      </c>
      <c r="Q1637" s="1593"/>
      <c r="R1637" s="1593"/>
      <c r="S1637" s="1593"/>
      <c r="T1637" s="1593"/>
      <c r="U1637" s="1594"/>
      <c r="V1637" s="40"/>
      <c r="W1637" s="130"/>
      <c r="X1637" s="130"/>
      <c r="Y1637" s="130"/>
      <c r="Z1637" s="130"/>
      <c r="AA1637" s="130"/>
      <c r="AB1637" s="130"/>
      <c r="AC1637" s="130"/>
      <c r="AD1637" s="130"/>
      <c r="AE1637" s="130"/>
    </row>
    <row r="1638" spans="1:31" s="141" customFormat="1" ht="14.25" customHeight="1">
      <c r="A1638" s="650"/>
      <c r="D1638" s="48"/>
      <c r="E1638" s="44" t="s">
        <v>953</v>
      </c>
      <c r="F1638" s="46"/>
      <c r="G1638" s="46"/>
      <c r="H1638" s="46"/>
      <c r="I1638" s="46"/>
      <c r="J1638" s="46"/>
      <c r="K1638" s="46"/>
      <c r="L1638" s="46"/>
      <c r="M1638" s="46"/>
      <c r="N1638" s="46"/>
      <c r="O1638" s="46"/>
      <c r="P1638" s="1129">
        <f>'5.LO'!E179</f>
        <v>0</v>
      </c>
      <c r="Q1638" s="1130"/>
      <c r="R1638" s="1130"/>
      <c r="S1638" s="1130"/>
      <c r="T1638" s="1130"/>
      <c r="U1638" s="1131"/>
      <c r="V1638" s="39"/>
      <c r="W1638" s="130"/>
      <c r="X1638" s="130"/>
      <c r="Y1638" s="130"/>
      <c r="Z1638" s="130"/>
      <c r="AA1638" s="130"/>
      <c r="AB1638" s="130"/>
      <c r="AC1638" s="130"/>
      <c r="AD1638" s="130"/>
      <c r="AE1638" s="130"/>
    </row>
    <row r="1639" spans="1:31" s="141" customFormat="1" ht="25.5" customHeight="1">
      <c r="A1639" s="650"/>
      <c r="D1639" s="1433" t="s">
        <v>1255</v>
      </c>
      <c r="E1639" s="1122"/>
      <c r="F1639" s="1122"/>
      <c r="G1639" s="1122"/>
      <c r="H1639" s="1122"/>
      <c r="I1639" s="1122"/>
      <c r="J1639" s="1122"/>
      <c r="K1639" s="1122"/>
      <c r="L1639" s="1122"/>
      <c r="M1639" s="1122"/>
      <c r="N1639" s="1122"/>
      <c r="O1639" s="1434"/>
      <c r="P1639" s="1592">
        <f>SUM(P1640:U1641)</f>
        <v>0</v>
      </c>
      <c r="Q1639" s="1593"/>
      <c r="R1639" s="1593"/>
      <c r="S1639" s="1593"/>
      <c r="T1639" s="1593"/>
      <c r="U1639" s="1594"/>
      <c r="V1639" s="40"/>
      <c r="W1639" s="130"/>
      <c r="X1639" s="130"/>
      <c r="Y1639" s="130"/>
      <c r="Z1639" s="130"/>
      <c r="AA1639" s="130"/>
      <c r="AB1639" s="130"/>
      <c r="AC1639" s="130"/>
      <c r="AD1639" s="130"/>
      <c r="AE1639" s="130"/>
    </row>
    <row r="1640" spans="1:31" s="141" customFormat="1" ht="14.25" customHeight="1">
      <c r="A1640" s="650"/>
      <c r="D1640" s="47"/>
      <c r="E1640" s="1117" t="s">
        <v>955</v>
      </c>
      <c r="F1640" s="1117"/>
      <c r="G1640" s="1117"/>
      <c r="H1640" s="1117"/>
      <c r="I1640" s="1117"/>
      <c r="J1640" s="1117"/>
      <c r="K1640" s="1117"/>
      <c r="L1640" s="1117"/>
      <c r="M1640" s="1117"/>
      <c r="N1640" s="1117"/>
      <c r="O1640" s="1424"/>
      <c r="P1640" s="1129">
        <f>'5.LO'!E181</f>
        <v>0</v>
      </c>
      <c r="Q1640" s="1130"/>
      <c r="R1640" s="1130"/>
      <c r="S1640" s="1130"/>
      <c r="T1640" s="1130"/>
      <c r="U1640" s="1131"/>
      <c r="V1640" s="39"/>
      <c r="W1640" s="130"/>
      <c r="X1640" s="130"/>
      <c r="Y1640" s="130"/>
      <c r="Z1640" s="130"/>
      <c r="AA1640" s="130"/>
      <c r="AB1640" s="130"/>
      <c r="AC1640" s="130"/>
      <c r="AD1640" s="130"/>
      <c r="AE1640" s="130"/>
    </row>
    <row r="1641" spans="1:31" s="141" customFormat="1" ht="14.25" customHeight="1">
      <c r="A1641" s="650"/>
      <c r="D1641" s="47"/>
      <c r="E1641" s="44" t="s">
        <v>956</v>
      </c>
      <c r="F1641" s="46"/>
      <c r="G1641" s="46"/>
      <c r="H1641" s="46"/>
      <c r="I1641" s="46"/>
      <c r="J1641" s="46"/>
      <c r="K1641" s="46"/>
      <c r="L1641" s="46"/>
      <c r="M1641" s="46"/>
      <c r="N1641" s="46"/>
      <c r="O1641" s="46"/>
      <c r="P1641" s="1129">
        <f>'5.LO'!E182</f>
        <v>0</v>
      </c>
      <c r="Q1641" s="1130"/>
      <c r="R1641" s="1130"/>
      <c r="S1641" s="1130"/>
      <c r="T1641" s="1130"/>
      <c r="U1641" s="1131"/>
      <c r="V1641" s="39"/>
      <c r="W1641" s="130"/>
      <c r="X1641" s="130"/>
      <c r="Y1641" s="130"/>
      <c r="Z1641" s="130"/>
      <c r="AA1641" s="130"/>
      <c r="AB1641" s="130"/>
      <c r="AC1641" s="130"/>
      <c r="AD1641" s="130"/>
      <c r="AE1641" s="130"/>
    </row>
    <row r="1642" spans="1:31" s="141" customFormat="1" ht="14.25" customHeight="1">
      <c r="A1642" s="650"/>
      <c r="D1642" s="45" t="s">
        <v>957</v>
      </c>
      <c r="E1642" s="43"/>
      <c r="F1642" s="46"/>
      <c r="G1642" s="46"/>
      <c r="H1642" s="46"/>
      <c r="I1642" s="46"/>
      <c r="J1642" s="46"/>
      <c r="K1642" s="46"/>
      <c r="L1642" s="46"/>
      <c r="M1642" s="46"/>
      <c r="N1642" s="46"/>
      <c r="O1642" s="46"/>
      <c r="P1642" s="1592">
        <f>P1643</f>
        <v>0</v>
      </c>
      <c r="Q1642" s="1593"/>
      <c r="R1642" s="1593"/>
      <c r="S1642" s="1593"/>
      <c r="T1642" s="1593"/>
      <c r="U1642" s="1594"/>
      <c r="V1642" s="40"/>
      <c r="W1642" s="130"/>
      <c r="X1642" s="130"/>
      <c r="Y1642" s="130"/>
      <c r="Z1642" s="130"/>
      <c r="AA1642" s="130"/>
      <c r="AB1642" s="130"/>
      <c r="AC1642" s="130"/>
      <c r="AD1642" s="130"/>
      <c r="AE1642" s="130"/>
    </row>
    <row r="1643" spans="1:31" s="141" customFormat="1" ht="14.25" customHeight="1">
      <c r="A1643" s="650"/>
      <c r="D1643" s="47"/>
      <c r="E1643" s="44" t="s">
        <v>958</v>
      </c>
      <c r="F1643" s="46"/>
      <c r="G1643" s="46"/>
      <c r="H1643" s="46"/>
      <c r="I1643" s="46"/>
      <c r="J1643" s="46"/>
      <c r="K1643" s="46"/>
      <c r="L1643" s="46"/>
      <c r="M1643" s="46"/>
      <c r="N1643" s="46"/>
      <c r="O1643" s="46"/>
      <c r="P1643" s="1129">
        <f>'5.LO'!E184</f>
        <v>0</v>
      </c>
      <c r="Q1643" s="1130"/>
      <c r="R1643" s="1130"/>
      <c r="S1643" s="1130"/>
      <c r="T1643" s="1130"/>
      <c r="U1643" s="1131"/>
      <c r="V1643" s="39"/>
      <c r="W1643" s="130"/>
      <c r="X1643" s="130"/>
      <c r="Y1643" s="130"/>
      <c r="Z1643" s="130"/>
      <c r="AA1643" s="130"/>
      <c r="AB1643" s="130"/>
      <c r="AC1643" s="130"/>
      <c r="AD1643" s="130"/>
      <c r="AE1643" s="130"/>
    </row>
    <row r="1644" spans="1:31" s="141" customFormat="1" ht="14.25" customHeight="1">
      <c r="A1644" s="650"/>
      <c r="D1644" s="45" t="s">
        <v>959</v>
      </c>
      <c r="E1644" s="43"/>
      <c r="F1644" s="46"/>
      <c r="G1644" s="46"/>
      <c r="H1644" s="46"/>
      <c r="I1644" s="46"/>
      <c r="J1644" s="46"/>
      <c r="K1644" s="46"/>
      <c r="L1644" s="46"/>
      <c r="M1644" s="46"/>
      <c r="N1644" s="46"/>
      <c r="O1644" s="46"/>
      <c r="P1644" s="1592">
        <f>P1645</f>
        <v>0</v>
      </c>
      <c r="Q1644" s="1593"/>
      <c r="R1644" s="1593"/>
      <c r="S1644" s="1593"/>
      <c r="T1644" s="1593"/>
      <c r="U1644" s="1594"/>
      <c r="V1644" s="40"/>
      <c r="W1644" s="130"/>
      <c r="X1644" s="130"/>
      <c r="Y1644" s="130"/>
      <c r="Z1644" s="130"/>
      <c r="AA1644" s="130"/>
      <c r="AB1644" s="130"/>
      <c r="AC1644" s="130"/>
      <c r="AD1644" s="130"/>
      <c r="AE1644" s="130"/>
    </row>
    <row r="1645" spans="1:31" s="141" customFormat="1" ht="14.25" customHeight="1">
      <c r="A1645" s="650"/>
      <c r="D1645" s="47"/>
      <c r="E1645" s="44" t="s">
        <v>959</v>
      </c>
      <c r="F1645" s="46"/>
      <c r="G1645" s="46"/>
      <c r="H1645" s="46"/>
      <c r="I1645" s="46"/>
      <c r="J1645" s="46"/>
      <c r="K1645" s="46"/>
      <c r="L1645" s="46"/>
      <c r="M1645" s="46"/>
      <c r="N1645" s="46"/>
      <c r="O1645" s="46"/>
      <c r="P1645" s="1129">
        <f>'5.LO'!E186</f>
        <v>0</v>
      </c>
      <c r="Q1645" s="1130"/>
      <c r="R1645" s="1130"/>
      <c r="S1645" s="1130"/>
      <c r="T1645" s="1130"/>
      <c r="U1645" s="1131"/>
      <c r="V1645" s="39"/>
      <c r="W1645" s="130"/>
      <c r="X1645" s="130"/>
      <c r="Y1645" s="130"/>
      <c r="Z1645" s="130"/>
      <c r="AA1645" s="130"/>
      <c r="AB1645" s="130"/>
      <c r="AC1645" s="130"/>
      <c r="AD1645" s="130"/>
      <c r="AE1645" s="130"/>
    </row>
    <row r="1646" spans="1:31" s="141" customFormat="1" ht="14.25" customHeight="1">
      <c r="A1646" s="650"/>
      <c r="D1646" s="45" t="s">
        <v>277</v>
      </c>
      <c r="E1646" s="43"/>
      <c r="F1646" s="46"/>
      <c r="G1646" s="46"/>
      <c r="H1646" s="46"/>
      <c r="I1646" s="46"/>
      <c r="J1646" s="46"/>
      <c r="K1646" s="46"/>
      <c r="L1646" s="46"/>
      <c r="M1646" s="46"/>
      <c r="N1646" s="46"/>
      <c r="O1646" s="46"/>
      <c r="P1646" s="1592">
        <f>SUM(P1647:U1658)</f>
        <v>0</v>
      </c>
      <c r="Q1646" s="1593"/>
      <c r="R1646" s="1593"/>
      <c r="S1646" s="1593"/>
      <c r="T1646" s="1593"/>
      <c r="U1646" s="1594"/>
      <c r="V1646" s="40"/>
      <c r="W1646" s="130"/>
      <c r="X1646" s="130"/>
      <c r="Y1646" s="130"/>
      <c r="Z1646" s="130"/>
      <c r="AA1646" s="130"/>
      <c r="AB1646" s="130"/>
      <c r="AC1646" s="130"/>
      <c r="AD1646" s="130"/>
      <c r="AE1646" s="130"/>
    </row>
    <row r="1647" spans="1:31" s="141" customFormat="1" ht="14.25" customHeight="1">
      <c r="A1647" s="650"/>
      <c r="D1647" s="47"/>
      <c r="E1647" s="44" t="s">
        <v>960</v>
      </c>
      <c r="F1647" s="46"/>
      <c r="G1647" s="46"/>
      <c r="H1647" s="46"/>
      <c r="I1647" s="46"/>
      <c r="J1647" s="46"/>
      <c r="K1647" s="46"/>
      <c r="L1647" s="46"/>
      <c r="M1647" s="46"/>
      <c r="N1647" s="46"/>
      <c r="O1647" s="46"/>
      <c r="P1647" s="1129">
        <f>'5.LO'!E188</f>
        <v>0</v>
      </c>
      <c r="Q1647" s="1130"/>
      <c r="R1647" s="1130"/>
      <c r="S1647" s="1130"/>
      <c r="T1647" s="1130"/>
      <c r="U1647" s="1131"/>
      <c r="V1647" s="39"/>
      <c r="W1647" s="130"/>
      <c r="X1647" s="130"/>
      <c r="Y1647" s="130"/>
      <c r="Z1647" s="130"/>
      <c r="AA1647" s="130"/>
      <c r="AB1647" s="130"/>
      <c r="AC1647" s="130"/>
      <c r="AD1647" s="130"/>
      <c r="AE1647" s="130"/>
    </row>
    <row r="1648" spans="1:31" s="141" customFormat="1" ht="26.25" customHeight="1">
      <c r="A1648" s="650"/>
      <c r="D1648" s="47"/>
      <c r="E1648" s="1117" t="s">
        <v>961</v>
      </c>
      <c r="F1648" s="1117"/>
      <c r="G1648" s="1117"/>
      <c r="H1648" s="1117"/>
      <c r="I1648" s="1117"/>
      <c r="J1648" s="1117"/>
      <c r="K1648" s="1117"/>
      <c r="L1648" s="1117"/>
      <c r="M1648" s="1117"/>
      <c r="N1648" s="1117"/>
      <c r="O1648" s="1424"/>
      <c r="P1648" s="1129">
        <f>'5.LO'!E189</f>
        <v>0</v>
      </c>
      <c r="Q1648" s="1130"/>
      <c r="R1648" s="1130"/>
      <c r="S1648" s="1130"/>
      <c r="T1648" s="1130"/>
      <c r="U1648" s="1131"/>
      <c r="V1648" s="39"/>
      <c r="W1648" s="130"/>
      <c r="X1648" s="130"/>
      <c r="Y1648" s="130"/>
      <c r="Z1648" s="130"/>
      <c r="AA1648" s="130"/>
      <c r="AB1648" s="130"/>
      <c r="AC1648" s="130"/>
      <c r="AD1648" s="130"/>
      <c r="AE1648" s="130"/>
    </row>
    <row r="1649" spans="1:31" s="141" customFormat="1" ht="14.25" customHeight="1">
      <c r="A1649" s="650"/>
      <c r="D1649" s="47"/>
      <c r="E1649" s="1117" t="s">
        <v>962</v>
      </c>
      <c r="F1649" s="1117"/>
      <c r="G1649" s="1117"/>
      <c r="H1649" s="1117"/>
      <c r="I1649" s="1117"/>
      <c r="J1649" s="1117"/>
      <c r="K1649" s="1117"/>
      <c r="L1649" s="1117"/>
      <c r="M1649" s="1117"/>
      <c r="N1649" s="1117"/>
      <c r="O1649" s="1424"/>
      <c r="P1649" s="1129">
        <f>'5.LO'!E190</f>
        <v>0</v>
      </c>
      <c r="Q1649" s="1130"/>
      <c r="R1649" s="1130"/>
      <c r="S1649" s="1130"/>
      <c r="T1649" s="1130"/>
      <c r="U1649" s="1131"/>
      <c r="V1649" s="39"/>
      <c r="W1649" s="130"/>
      <c r="X1649" s="130"/>
      <c r="Y1649" s="130"/>
      <c r="Z1649" s="130"/>
      <c r="AA1649" s="130"/>
      <c r="AB1649" s="130"/>
      <c r="AC1649" s="130"/>
      <c r="AD1649" s="130"/>
      <c r="AE1649" s="130"/>
    </row>
    <row r="1650" spans="1:31" s="141" customFormat="1" ht="14.25" customHeight="1">
      <c r="A1650" s="650"/>
      <c r="D1650" s="47"/>
      <c r="E1650" s="44" t="s">
        <v>963</v>
      </c>
      <c r="F1650" s="627"/>
      <c r="G1650" s="627"/>
      <c r="H1650" s="627"/>
      <c r="I1650" s="627"/>
      <c r="J1650" s="627"/>
      <c r="K1650" s="627"/>
      <c r="L1650" s="627"/>
      <c r="M1650" s="627"/>
      <c r="N1650" s="627"/>
      <c r="O1650" s="51">
        <f>'2.ISIAN DATA SKPD'!D405</f>
        <v>0</v>
      </c>
      <c r="P1650" s="1129">
        <f>'5.LO'!E191</f>
        <v>0</v>
      </c>
      <c r="Q1650" s="1130"/>
      <c r="R1650" s="1130"/>
      <c r="S1650" s="1130"/>
      <c r="T1650" s="1130"/>
      <c r="U1650" s="1131"/>
      <c r="V1650" s="39"/>
      <c r="W1650" s="130"/>
      <c r="X1650" s="130"/>
      <c r="Y1650" s="130"/>
      <c r="Z1650" s="130"/>
      <c r="AA1650" s="130"/>
      <c r="AB1650" s="130"/>
      <c r="AC1650" s="130"/>
      <c r="AD1650" s="130"/>
      <c r="AE1650" s="130"/>
    </row>
    <row r="1651" spans="1:31" s="141" customFormat="1" ht="14.25" customHeight="1">
      <c r="A1651" s="83"/>
      <c r="D1651" s="47"/>
      <c r="E1651" s="44" t="s">
        <v>964</v>
      </c>
      <c r="F1651" s="627"/>
      <c r="G1651" s="627"/>
      <c r="H1651" s="627"/>
      <c r="I1651" s="627"/>
      <c r="J1651" s="627"/>
      <c r="K1651" s="627"/>
      <c r="L1651" s="627"/>
      <c r="M1651" s="627"/>
      <c r="N1651" s="627"/>
      <c r="O1651" s="51">
        <f>'2.ISIAN DATA SKPD'!D406</f>
        <v>0</v>
      </c>
      <c r="P1651" s="1129">
        <f>'5.LO'!E192</f>
        <v>0</v>
      </c>
      <c r="Q1651" s="1130"/>
      <c r="R1651" s="1130"/>
      <c r="S1651" s="1130"/>
      <c r="T1651" s="1130"/>
      <c r="U1651" s="1131"/>
      <c r="V1651" s="39"/>
      <c r="W1651" s="130"/>
      <c r="X1651" s="130"/>
      <c r="Y1651" s="130"/>
      <c r="Z1651" s="130"/>
      <c r="AA1651" s="130"/>
      <c r="AB1651" s="130"/>
      <c r="AC1651" s="130"/>
      <c r="AD1651" s="130"/>
      <c r="AE1651" s="130"/>
    </row>
    <row r="1652" spans="1:31" s="141" customFormat="1" ht="14.25" customHeight="1">
      <c r="A1652" s="83"/>
      <c r="D1652" s="47"/>
      <c r="E1652" s="44" t="s">
        <v>965</v>
      </c>
      <c r="F1652" s="627"/>
      <c r="G1652" s="627"/>
      <c r="H1652" s="627"/>
      <c r="I1652" s="627"/>
      <c r="J1652" s="627"/>
      <c r="K1652" s="627"/>
      <c r="L1652" s="627"/>
      <c r="M1652" s="627"/>
      <c r="N1652" s="627"/>
      <c r="O1652" s="51"/>
      <c r="P1652" s="1129">
        <f>'5.LO'!E193</f>
        <v>0</v>
      </c>
      <c r="Q1652" s="1130"/>
      <c r="R1652" s="1130"/>
      <c r="S1652" s="1130"/>
      <c r="T1652" s="1130"/>
      <c r="U1652" s="1131"/>
      <c r="V1652" s="39"/>
      <c r="W1652" s="130"/>
      <c r="X1652" s="130"/>
      <c r="Y1652" s="130"/>
      <c r="Z1652" s="130"/>
      <c r="AA1652" s="130"/>
      <c r="AB1652" s="130"/>
      <c r="AC1652" s="130"/>
      <c r="AD1652" s="130"/>
      <c r="AE1652" s="130"/>
    </row>
    <row r="1653" spans="1:31" s="141" customFormat="1" ht="14.25" customHeight="1">
      <c r="A1653" s="83"/>
      <c r="D1653" s="47"/>
      <c r="E1653" s="44" t="s">
        <v>966</v>
      </c>
      <c r="F1653" s="627"/>
      <c r="G1653" s="627"/>
      <c r="H1653" s="627"/>
      <c r="I1653" s="627"/>
      <c r="J1653" s="627"/>
      <c r="K1653" s="627"/>
      <c r="L1653" s="627"/>
      <c r="M1653" s="627"/>
      <c r="N1653" s="627"/>
      <c r="O1653" s="51"/>
      <c r="P1653" s="1129">
        <f>'5.LO'!E194</f>
        <v>0</v>
      </c>
      <c r="Q1653" s="1130"/>
      <c r="R1653" s="1130"/>
      <c r="S1653" s="1130"/>
      <c r="T1653" s="1130"/>
      <c r="U1653" s="1131"/>
      <c r="V1653" s="39"/>
      <c r="W1653" s="130"/>
      <c r="X1653" s="130"/>
      <c r="Y1653" s="130"/>
      <c r="Z1653" s="130"/>
      <c r="AA1653" s="130"/>
      <c r="AB1653" s="130"/>
      <c r="AC1653" s="130"/>
      <c r="AD1653" s="130"/>
      <c r="AE1653" s="130"/>
    </row>
    <row r="1654" spans="1:31" s="141" customFormat="1" ht="14.25" customHeight="1">
      <c r="A1654" s="83"/>
      <c r="D1654" s="47"/>
      <c r="E1654" s="44" t="s">
        <v>967</v>
      </c>
      <c r="F1654" s="627"/>
      <c r="G1654" s="627"/>
      <c r="H1654" s="627"/>
      <c r="I1654" s="627"/>
      <c r="J1654" s="627"/>
      <c r="K1654" s="627"/>
      <c r="L1654" s="627"/>
      <c r="M1654" s="627"/>
      <c r="N1654" s="627"/>
      <c r="O1654" s="51"/>
      <c r="P1654" s="1129">
        <f>'5.LO'!E195</f>
        <v>0</v>
      </c>
      <c r="Q1654" s="1130"/>
      <c r="R1654" s="1130"/>
      <c r="S1654" s="1130"/>
      <c r="T1654" s="1130"/>
      <c r="U1654" s="1131"/>
      <c r="V1654" s="39"/>
      <c r="W1654" s="130"/>
      <c r="X1654" s="130"/>
      <c r="Y1654" s="130"/>
      <c r="Z1654" s="130"/>
      <c r="AA1654" s="130"/>
      <c r="AB1654" s="130"/>
      <c r="AC1654" s="130"/>
      <c r="AD1654" s="130"/>
      <c r="AE1654" s="130"/>
    </row>
    <row r="1655" spans="1:31" s="141" customFormat="1" ht="14.25" customHeight="1">
      <c r="A1655" s="83"/>
      <c r="D1655" s="47"/>
      <c r="E1655" s="44" t="s">
        <v>968</v>
      </c>
      <c r="F1655" s="627"/>
      <c r="G1655" s="627"/>
      <c r="H1655" s="627"/>
      <c r="I1655" s="627"/>
      <c r="J1655" s="627"/>
      <c r="K1655" s="627"/>
      <c r="L1655" s="627"/>
      <c r="M1655" s="627"/>
      <c r="N1655" s="627"/>
      <c r="O1655" s="51"/>
      <c r="P1655" s="1129">
        <f>'5.LO'!E196</f>
        <v>0</v>
      </c>
      <c r="Q1655" s="1130"/>
      <c r="R1655" s="1130"/>
      <c r="S1655" s="1130"/>
      <c r="T1655" s="1130"/>
      <c r="U1655" s="1131"/>
      <c r="V1655" s="39"/>
      <c r="W1655" s="130"/>
      <c r="X1655" s="130"/>
      <c r="Y1655" s="130"/>
      <c r="Z1655" s="130"/>
      <c r="AA1655" s="130"/>
      <c r="AB1655" s="130"/>
      <c r="AC1655" s="130"/>
      <c r="AD1655" s="130"/>
      <c r="AE1655" s="130"/>
    </row>
    <row r="1656" spans="1:31" s="141" customFormat="1" ht="14.25" customHeight="1">
      <c r="A1656" s="83"/>
      <c r="D1656" s="47"/>
      <c r="E1656" s="44" t="s">
        <v>969</v>
      </c>
      <c r="F1656" s="627"/>
      <c r="G1656" s="627"/>
      <c r="H1656" s="627"/>
      <c r="I1656" s="627"/>
      <c r="J1656" s="627"/>
      <c r="K1656" s="627"/>
      <c r="L1656" s="627"/>
      <c r="M1656" s="627"/>
      <c r="N1656" s="627"/>
      <c r="O1656" s="51"/>
      <c r="P1656" s="1129">
        <f>'5.LO'!E197</f>
        <v>0</v>
      </c>
      <c r="Q1656" s="1130"/>
      <c r="R1656" s="1130"/>
      <c r="S1656" s="1130"/>
      <c r="T1656" s="1130"/>
      <c r="U1656" s="1131"/>
      <c r="V1656" s="39"/>
      <c r="W1656" s="130"/>
      <c r="X1656" s="130"/>
      <c r="Y1656" s="130"/>
      <c r="Z1656" s="130"/>
      <c r="AA1656" s="130"/>
      <c r="AB1656" s="130"/>
      <c r="AC1656" s="130"/>
      <c r="AD1656" s="130"/>
      <c r="AE1656" s="130"/>
    </row>
    <row r="1657" spans="1:31" s="141" customFormat="1" ht="14.25" customHeight="1">
      <c r="A1657" s="83"/>
      <c r="D1657" s="47"/>
      <c r="E1657" s="44" t="s">
        <v>970</v>
      </c>
      <c r="F1657" s="627"/>
      <c r="G1657" s="627"/>
      <c r="H1657" s="627"/>
      <c r="I1657" s="627"/>
      <c r="J1657" s="627"/>
      <c r="K1657" s="627"/>
      <c r="L1657" s="627"/>
      <c r="M1657" s="627"/>
      <c r="N1657" s="627"/>
      <c r="O1657" s="51"/>
      <c r="P1657" s="1129">
        <f>'5.LO'!E198</f>
        <v>0</v>
      </c>
      <c r="Q1657" s="1130"/>
      <c r="R1657" s="1130"/>
      <c r="S1657" s="1130"/>
      <c r="T1657" s="1130"/>
      <c r="U1657" s="1131"/>
      <c r="V1657" s="39"/>
      <c r="W1657" s="130"/>
      <c r="X1657" s="130"/>
      <c r="Y1657" s="130"/>
      <c r="Z1657" s="130"/>
      <c r="AA1657" s="130"/>
      <c r="AB1657" s="130"/>
      <c r="AC1657" s="130"/>
      <c r="AD1657" s="130"/>
      <c r="AE1657" s="130"/>
    </row>
    <row r="1658" spans="1:31" s="141" customFormat="1" ht="14.25" customHeight="1">
      <c r="A1658" s="83"/>
      <c r="D1658" s="47"/>
      <c r="E1658" s="44" t="s">
        <v>971</v>
      </c>
      <c r="F1658" s="627"/>
      <c r="G1658" s="627"/>
      <c r="H1658" s="627"/>
      <c r="I1658" s="627"/>
      <c r="J1658" s="627"/>
      <c r="K1658" s="627"/>
      <c r="L1658" s="627"/>
      <c r="M1658" s="627"/>
      <c r="N1658" s="627"/>
      <c r="O1658" s="51"/>
      <c r="P1658" s="1129">
        <f>'5.LO'!E199</f>
        <v>0</v>
      </c>
      <c r="Q1658" s="1130"/>
      <c r="R1658" s="1130"/>
      <c r="S1658" s="1130"/>
      <c r="T1658" s="1130"/>
      <c r="U1658" s="1131"/>
      <c r="V1658" s="39"/>
      <c r="W1658" s="130"/>
      <c r="X1658" s="130"/>
      <c r="Y1658" s="130"/>
      <c r="Z1658" s="130"/>
      <c r="AA1658" s="130"/>
      <c r="AB1658" s="130"/>
      <c r="AC1658" s="130"/>
      <c r="AD1658" s="130"/>
      <c r="AE1658" s="130"/>
    </row>
    <row r="1659" spans="1:31" s="141" customFormat="1" ht="14.25" customHeight="1">
      <c r="A1659" s="83"/>
      <c r="D1659" s="45" t="s">
        <v>278</v>
      </c>
      <c r="E1659" s="43"/>
      <c r="F1659" s="627"/>
      <c r="G1659" s="627"/>
      <c r="H1659" s="627"/>
      <c r="I1659" s="627"/>
      <c r="J1659" s="627"/>
      <c r="K1659" s="627"/>
      <c r="L1659" s="627"/>
      <c r="M1659" s="627"/>
      <c r="N1659" s="627"/>
      <c r="O1659" s="51"/>
      <c r="P1659" s="1592">
        <f>SUM(P1660:U1665)</f>
        <v>0</v>
      </c>
      <c r="Q1659" s="1593"/>
      <c r="R1659" s="1593"/>
      <c r="S1659" s="1593"/>
      <c r="T1659" s="1593"/>
      <c r="U1659" s="1594"/>
      <c r="V1659" s="40"/>
      <c r="W1659" s="130"/>
      <c r="X1659" s="130"/>
      <c r="Y1659" s="130"/>
      <c r="Z1659" s="130"/>
      <c r="AA1659" s="130"/>
      <c r="AB1659" s="130"/>
      <c r="AC1659" s="130"/>
      <c r="AD1659" s="130"/>
      <c r="AE1659" s="130"/>
    </row>
    <row r="1660" spans="1:31" s="141" customFormat="1" ht="14.25" customHeight="1">
      <c r="A1660" s="83"/>
      <c r="D1660" s="47"/>
      <c r="E1660" s="44" t="s">
        <v>971</v>
      </c>
      <c r="F1660" s="627"/>
      <c r="G1660" s="627"/>
      <c r="H1660" s="627"/>
      <c r="I1660" s="627"/>
      <c r="J1660" s="627"/>
      <c r="K1660" s="627"/>
      <c r="L1660" s="627"/>
      <c r="M1660" s="627"/>
      <c r="N1660" s="627"/>
      <c r="O1660" s="51"/>
      <c r="P1660" s="1129">
        <f>'5.LO'!E201</f>
        <v>0</v>
      </c>
      <c r="Q1660" s="1130"/>
      <c r="R1660" s="1130"/>
      <c r="S1660" s="1130"/>
      <c r="T1660" s="1130"/>
      <c r="U1660" s="1131"/>
      <c r="V1660" s="39"/>
      <c r="W1660" s="130"/>
      <c r="X1660" s="130"/>
      <c r="Y1660" s="130"/>
      <c r="Z1660" s="130"/>
      <c r="AA1660" s="130"/>
      <c r="AB1660" s="130"/>
      <c r="AC1660" s="130"/>
      <c r="AD1660" s="130"/>
      <c r="AE1660" s="130"/>
    </row>
    <row r="1661" spans="1:31" s="141" customFormat="1" ht="14.25" customHeight="1">
      <c r="A1661" s="83"/>
      <c r="D1661" s="47"/>
      <c r="E1661" s="44" t="s">
        <v>972</v>
      </c>
      <c r="F1661" s="627"/>
      <c r="G1661" s="627"/>
      <c r="H1661" s="627"/>
      <c r="I1661" s="627"/>
      <c r="J1661" s="627"/>
      <c r="K1661" s="627"/>
      <c r="L1661" s="627"/>
      <c r="M1661" s="627"/>
      <c r="N1661" s="627"/>
      <c r="O1661" s="51"/>
      <c r="P1661" s="1129">
        <f>'5.LO'!E202</f>
        <v>0</v>
      </c>
      <c r="Q1661" s="1130"/>
      <c r="R1661" s="1130"/>
      <c r="S1661" s="1130"/>
      <c r="T1661" s="1130"/>
      <c r="U1661" s="1131"/>
      <c r="V1661" s="39"/>
      <c r="W1661" s="130"/>
      <c r="X1661" s="130"/>
      <c r="Y1661" s="130"/>
      <c r="Z1661" s="130"/>
      <c r="AA1661" s="130"/>
      <c r="AB1661" s="130"/>
      <c r="AC1661" s="130"/>
      <c r="AD1661" s="130"/>
      <c r="AE1661" s="130"/>
    </row>
    <row r="1662" spans="1:31" s="141" customFormat="1" ht="14.25" customHeight="1">
      <c r="A1662" s="83"/>
      <c r="D1662" s="47"/>
      <c r="E1662" s="44" t="s">
        <v>973</v>
      </c>
      <c r="F1662" s="627"/>
      <c r="G1662" s="627"/>
      <c r="H1662" s="627"/>
      <c r="I1662" s="627"/>
      <c r="J1662" s="627"/>
      <c r="K1662" s="627"/>
      <c r="L1662" s="627"/>
      <c r="M1662" s="627"/>
      <c r="N1662" s="627"/>
      <c r="O1662" s="51"/>
      <c r="P1662" s="1129">
        <f>'5.LO'!E203</f>
        <v>0</v>
      </c>
      <c r="Q1662" s="1130"/>
      <c r="R1662" s="1130"/>
      <c r="S1662" s="1130"/>
      <c r="T1662" s="1130"/>
      <c r="U1662" s="1131"/>
      <c r="V1662" s="39"/>
      <c r="W1662" s="130"/>
      <c r="X1662" s="130"/>
      <c r="Y1662" s="130"/>
      <c r="Z1662" s="130"/>
      <c r="AA1662" s="130"/>
      <c r="AB1662" s="130"/>
      <c r="AC1662" s="130"/>
      <c r="AD1662" s="130"/>
      <c r="AE1662" s="130"/>
    </row>
    <row r="1663" spans="1:31" s="141" customFormat="1" ht="14.25" customHeight="1">
      <c r="A1663" s="83"/>
      <c r="D1663" s="47"/>
      <c r="E1663" s="44" t="s">
        <v>974</v>
      </c>
      <c r="F1663" s="627"/>
      <c r="G1663" s="627"/>
      <c r="H1663" s="627"/>
      <c r="I1663" s="627"/>
      <c r="J1663" s="627"/>
      <c r="K1663" s="627"/>
      <c r="L1663" s="627"/>
      <c r="M1663" s="627"/>
      <c r="N1663" s="627"/>
      <c r="O1663" s="51"/>
      <c r="P1663" s="1129">
        <f>'5.LO'!E204</f>
        <v>0</v>
      </c>
      <c r="Q1663" s="1130"/>
      <c r="R1663" s="1130"/>
      <c r="S1663" s="1130"/>
      <c r="T1663" s="1130"/>
      <c r="U1663" s="1131"/>
      <c r="V1663" s="39"/>
      <c r="W1663" s="130"/>
      <c r="X1663" s="130"/>
      <c r="Y1663" s="130"/>
      <c r="Z1663" s="130"/>
      <c r="AA1663" s="130"/>
      <c r="AB1663" s="130"/>
      <c r="AC1663" s="130"/>
      <c r="AD1663" s="130"/>
      <c r="AE1663" s="130"/>
    </row>
    <row r="1664" spans="1:31" s="141" customFormat="1" ht="27.75" customHeight="1">
      <c r="A1664" s="83"/>
      <c r="D1664" s="47"/>
      <c r="E1664" s="1117" t="s">
        <v>975</v>
      </c>
      <c r="F1664" s="1117"/>
      <c r="G1664" s="1117"/>
      <c r="H1664" s="1117"/>
      <c r="I1664" s="1117"/>
      <c r="J1664" s="1117"/>
      <c r="K1664" s="1117"/>
      <c r="L1664" s="1117"/>
      <c r="M1664" s="1117"/>
      <c r="N1664" s="1117"/>
      <c r="O1664" s="1424"/>
      <c r="P1664" s="1129">
        <f>'5.LO'!E205</f>
        <v>0</v>
      </c>
      <c r="Q1664" s="1130"/>
      <c r="R1664" s="1130"/>
      <c r="S1664" s="1130"/>
      <c r="T1664" s="1130"/>
      <c r="U1664" s="1131"/>
      <c r="V1664" s="39"/>
      <c r="W1664" s="130"/>
      <c r="X1664" s="130"/>
      <c r="Y1664" s="130"/>
      <c r="Z1664" s="130"/>
      <c r="AA1664" s="130"/>
      <c r="AB1664" s="130"/>
      <c r="AC1664" s="130"/>
      <c r="AD1664" s="130"/>
      <c r="AE1664" s="130"/>
    </row>
    <row r="1665" spans="1:31" s="141" customFormat="1" ht="14.25" customHeight="1">
      <c r="A1665" s="83"/>
      <c r="D1665" s="47"/>
      <c r="E1665" s="44" t="s">
        <v>976</v>
      </c>
      <c r="F1665" s="627"/>
      <c r="G1665" s="627"/>
      <c r="H1665" s="627"/>
      <c r="I1665" s="627"/>
      <c r="J1665" s="627"/>
      <c r="K1665" s="627"/>
      <c r="L1665" s="627"/>
      <c r="M1665" s="627"/>
      <c r="N1665" s="627"/>
      <c r="O1665" s="51"/>
      <c r="P1665" s="1129">
        <f>'5.LO'!E206</f>
        <v>0</v>
      </c>
      <c r="Q1665" s="1130"/>
      <c r="R1665" s="1130"/>
      <c r="S1665" s="1130"/>
      <c r="T1665" s="1130"/>
      <c r="U1665" s="1131"/>
      <c r="V1665" s="39"/>
      <c r="W1665" s="130"/>
      <c r="X1665" s="130"/>
      <c r="Y1665" s="130"/>
      <c r="Z1665" s="130"/>
      <c r="AA1665" s="130"/>
      <c r="AB1665" s="130"/>
      <c r="AC1665" s="130"/>
      <c r="AD1665" s="130"/>
      <c r="AE1665" s="130"/>
    </row>
    <row r="1666" spans="1:31" s="141" customFormat="1" ht="14.25" customHeight="1">
      <c r="A1666" s="83"/>
      <c r="D1666" s="45" t="s">
        <v>261</v>
      </c>
      <c r="E1666" s="43"/>
      <c r="F1666" s="627"/>
      <c r="G1666" s="627"/>
      <c r="H1666" s="627"/>
      <c r="I1666" s="627"/>
      <c r="J1666" s="627"/>
      <c r="K1666" s="627"/>
      <c r="L1666" s="627"/>
      <c r="M1666" s="627"/>
      <c r="N1666" s="627"/>
      <c r="O1666" s="51"/>
      <c r="P1666" s="1592">
        <f>SUM(P1667:U1668)</f>
        <v>0</v>
      </c>
      <c r="Q1666" s="1593"/>
      <c r="R1666" s="1593"/>
      <c r="S1666" s="1593"/>
      <c r="T1666" s="1593"/>
      <c r="U1666" s="1594"/>
      <c r="V1666" s="40"/>
      <c r="W1666" s="130"/>
      <c r="X1666" s="130"/>
      <c r="Y1666" s="130"/>
      <c r="Z1666" s="130"/>
      <c r="AA1666" s="130"/>
      <c r="AB1666" s="130"/>
      <c r="AC1666" s="130"/>
      <c r="AD1666" s="130"/>
      <c r="AE1666" s="130"/>
    </row>
    <row r="1667" spans="1:31" s="141" customFormat="1" ht="14.25" customHeight="1">
      <c r="A1667" s="83"/>
      <c r="D1667" s="47"/>
      <c r="E1667" s="44" t="s">
        <v>977</v>
      </c>
      <c r="F1667" s="627"/>
      <c r="G1667" s="627"/>
      <c r="H1667" s="627"/>
      <c r="I1667" s="627"/>
      <c r="J1667" s="627"/>
      <c r="K1667" s="627"/>
      <c r="L1667" s="627"/>
      <c r="M1667" s="627"/>
      <c r="N1667" s="627"/>
      <c r="O1667" s="51"/>
      <c r="P1667" s="1129">
        <f>'5.LO'!E208</f>
        <v>0</v>
      </c>
      <c r="Q1667" s="1130"/>
      <c r="R1667" s="1130"/>
      <c r="S1667" s="1130"/>
      <c r="T1667" s="1130"/>
      <c r="U1667" s="1131"/>
      <c r="V1667" s="39"/>
      <c r="W1667" s="130"/>
      <c r="X1667" s="130"/>
      <c r="Y1667" s="130"/>
      <c r="Z1667" s="130"/>
      <c r="AA1667" s="130"/>
      <c r="AB1667" s="130"/>
      <c r="AC1667" s="130"/>
      <c r="AD1667" s="130"/>
      <c r="AE1667" s="130"/>
    </row>
    <row r="1668" spans="1:31" s="141" customFormat="1" ht="14.25" customHeight="1">
      <c r="A1668" s="83"/>
      <c r="D1668" s="47"/>
      <c r="E1668" s="44" t="s">
        <v>978</v>
      </c>
      <c r="F1668" s="627"/>
      <c r="G1668" s="627"/>
      <c r="H1668" s="627"/>
      <c r="I1668" s="627"/>
      <c r="J1668" s="627"/>
      <c r="K1668" s="627"/>
      <c r="L1668" s="627"/>
      <c r="M1668" s="627"/>
      <c r="N1668" s="627"/>
      <c r="O1668" s="51"/>
      <c r="P1668" s="1129">
        <f>'5.LO'!E209</f>
        <v>0</v>
      </c>
      <c r="Q1668" s="1130"/>
      <c r="R1668" s="1130"/>
      <c r="S1668" s="1130"/>
      <c r="T1668" s="1130"/>
      <c r="U1668" s="1131"/>
      <c r="V1668" s="39"/>
      <c r="W1668" s="130"/>
      <c r="X1668" s="130"/>
      <c r="Y1668" s="130"/>
      <c r="Z1668" s="130"/>
      <c r="AA1668" s="130"/>
      <c r="AB1668" s="130"/>
      <c r="AC1668" s="130"/>
      <c r="AD1668" s="130"/>
      <c r="AE1668" s="130"/>
    </row>
    <row r="1669" spans="1:31" s="141" customFormat="1" ht="27" customHeight="1">
      <c r="A1669" s="83"/>
      <c r="D1669" s="1433" t="s">
        <v>979</v>
      </c>
      <c r="E1669" s="1122"/>
      <c r="F1669" s="1122"/>
      <c r="G1669" s="1122"/>
      <c r="H1669" s="1122"/>
      <c r="I1669" s="1122"/>
      <c r="J1669" s="1122"/>
      <c r="K1669" s="1122"/>
      <c r="L1669" s="1122"/>
      <c r="M1669" s="1122"/>
      <c r="N1669" s="1122"/>
      <c r="O1669" s="1434"/>
      <c r="P1669" s="1592">
        <f>SUM(P1670:U1671)</f>
        <v>0</v>
      </c>
      <c r="Q1669" s="1593"/>
      <c r="R1669" s="1593"/>
      <c r="S1669" s="1593"/>
      <c r="T1669" s="1593"/>
      <c r="U1669" s="1594"/>
      <c r="V1669" s="40"/>
      <c r="W1669" s="130"/>
      <c r="X1669" s="130"/>
      <c r="Y1669" s="130"/>
      <c r="Z1669" s="130"/>
      <c r="AA1669" s="130"/>
      <c r="AB1669" s="130"/>
      <c r="AC1669" s="130"/>
      <c r="AD1669" s="130"/>
      <c r="AE1669" s="130"/>
    </row>
    <row r="1670" spans="1:31" s="141" customFormat="1" ht="12.75" customHeight="1">
      <c r="A1670" s="83"/>
      <c r="D1670" s="47"/>
      <c r="E1670" s="44" t="s">
        <v>980</v>
      </c>
      <c r="F1670" s="627"/>
      <c r="G1670" s="627"/>
      <c r="H1670" s="627"/>
      <c r="I1670" s="627"/>
      <c r="J1670" s="627"/>
      <c r="K1670" s="627"/>
      <c r="L1670" s="627"/>
      <c r="M1670" s="627"/>
      <c r="N1670" s="627"/>
      <c r="O1670" s="51"/>
      <c r="P1670" s="1129">
        <f>'5.LO'!E211</f>
        <v>0</v>
      </c>
      <c r="Q1670" s="1130"/>
      <c r="R1670" s="1130"/>
      <c r="S1670" s="1130"/>
      <c r="T1670" s="1130"/>
      <c r="U1670" s="1131"/>
      <c r="V1670" s="39"/>
      <c r="W1670" s="130"/>
      <c r="X1670" s="130"/>
      <c r="Y1670" s="130"/>
      <c r="Z1670" s="130"/>
      <c r="AA1670" s="130"/>
      <c r="AB1670" s="130"/>
      <c r="AC1670" s="130"/>
      <c r="AD1670" s="130"/>
      <c r="AE1670" s="130"/>
    </row>
    <row r="1671" spans="1:31" s="141" customFormat="1" ht="12.75" customHeight="1">
      <c r="A1671" s="83"/>
      <c r="D1671" s="47"/>
      <c r="E1671" s="44" t="s">
        <v>981</v>
      </c>
      <c r="F1671" s="627"/>
      <c r="G1671" s="627"/>
      <c r="H1671" s="627"/>
      <c r="I1671" s="627"/>
      <c r="J1671" s="627"/>
      <c r="K1671" s="627"/>
      <c r="L1671" s="627"/>
      <c r="M1671" s="627"/>
      <c r="N1671" s="627"/>
      <c r="O1671" s="51"/>
      <c r="P1671" s="1129">
        <f>'5.LO'!E212</f>
        <v>0</v>
      </c>
      <c r="Q1671" s="1130"/>
      <c r="R1671" s="1130"/>
      <c r="S1671" s="1130"/>
      <c r="T1671" s="1130"/>
      <c r="U1671" s="1131"/>
      <c r="V1671" s="39"/>
      <c r="W1671" s="130"/>
      <c r="X1671" s="130"/>
      <c r="Y1671" s="130"/>
      <c r="Z1671" s="130"/>
      <c r="AA1671" s="130"/>
      <c r="AB1671" s="130"/>
      <c r="AC1671" s="130"/>
      <c r="AD1671" s="130"/>
      <c r="AE1671" s="130"/>
    </row>
    <row r="1672" spans="1:31" s="141" customFormat="1" ht="12.75" customHeight="1">
      <c r="A1672" s="83"/>
      <c r="D1672" s="45" t="s">
        <v>1256</v>
      </c>
      <c r="E1672" s="43"/>
      <c r="F1672" s="627"/>
      <c r="G1672" s="627"/>
      <c r="H1672" s="627"/>
      <c r="I1672" s="627"/>
      <c r="J1672" s="627"/>
      <c r="K1672" s="627"/>
      <c r="L1672" s="627"/>
      <c r="M1672" s="627"/>
      <c r="N1672" s="627"/>
      <c r="O1672" s="51"/>
      <c r="P1672" s="1592">
        <f>SUM(P1673:U1674)</f>
        <v>0</v>
      </c>
      <c r="Q1672" s="1593"/>
      <c r="R1672" s="1593"/>
      <c r="S1672" s="1593"/>
      <c r="T1672" s="1593"/>
      <c r="U1672" s="1594"/>
      <c r="V1672" s="40"/>
      <c r="W1672" s="130"/>
      <c r="X1672" s="130"/>
      <c r="Y1672" s="130"/>
      <c r="Z1672" s="130"/>
      <c r="AA1672" s="130"/>
      <c r="AB1672" s="130"/>
      <c r="AC1672" s="130"/>
      <c r="AD1672" s="130"/>
      <c r="AE1672" s="130"/>
    </row>
    <row r="1673" spans="1:31" s="141" customFormat="1" ht="12.75" customHeight="1">
      <c r="A1673" s="83"/>
      <c r="D1673" s="47"/>
      <c r="E1673" s="44" t="s">
        <v>1257</v>
      </c>
      <c r="F1673" s="627"/>
      <c r="G1673" s="627"/>
      <c r="H1673" s="627"/>
      <c r="I1673" s="627"/>
      <c r="J1673" s="627"/>
      <c r="K1673" s="627"/>
      <c r="L1673" s="627"/>
      <c r="M1673" s="627"/>
      <c r="N1673" s="627"/>
      <c r="O1673" s="51"/>
      <c r="P1673" s="1129">
        <f>'5.LO'!E214</f>
        <v>0</v>
      </c>
      <c r="Q1673" s="1130"/>
      <c r="R1673" s="1130"/>
      <c r="S1673" s="1130"/>
      <c r="T1673" s="1130"/>
      <c r="U1673" s="1131"/>
      <c r="V1673" s="39"/>
      <c r="W1673" s="130"/>
      <c r="X1673" s="130"/>
      <c r="Y1673" s="130"/>
      <c r="Z1673" s="130"/>
      <c r="AA1673" s="130"/>
      <c r="AB1673" s="130"/>
      <c r="AC1673" s="130"/>
      <c r="AD1673" s="130"/>
      <c r="AE1673" s="130"/>
    </row>
    <row r="1674" spans="1:31" s="141" customFormat="1" ht="12.75" customHeight="1">
      <c r="A1674" s="83"/>
      <c r="D1674" s="47"/>
      <c r="E1674" s="44" t="s">
        <v>1258</v>
      </c>
      <c r="F1674" s="627"/>
      <c r="G1674" s="627"/>
      <c r="H1674" s="627"/>
      <c r="I1674" s="627"/>
      <c r="J1674" s="627"/>
      <c r="K1674" s="627"/>
      <c r="L1674" s="627"/>
      <c r="M1674" s="627"/>
      <c r="N1674" s="627"/>
      <c r="O1674" s="51"/>
      <c r="P1674" s="1129">
        <f>'5.LO'!E215</f>
        <v>0</v>
      </c>
      <c r="Q1674" s="1130"/>
      <c r="R1674" s="1130"/>
      <c r="S1674" s="1130"/>
      <c r="T1674" s="1130"/>
      <c r="U1674" s="1131"/>
      <c r="V1674" s="39"/>
      <c r="W1674" s="130"/>
      <c r="X1674" s="130"/>
      <c r="Y1674" s="130"/>
      <c r="Z1674" s="130"/>
      <c r="AA1674" s="130"/>
      <c r="AB1674" s="130"/>
      <c r="AC1674" s="130"/>
      <c r="AD1674" s="130"/>
      <c r="AE1674" s="130"/>
    </row>
    <row r="1675" spans="1:31" s="141" customFormat="1" ht="12.75" customHeight="1">
      <c r="A1675" s="83"/>
      <c r="D1675" s="45" t="s">
        <v>1259</v>
      </c>
      <c r="E1675" s="43"/>
      <c r="F1675" s="627"/>
      <c r="G1675" s="627"/>
      <c r="H1675" s="627"/>
      <c r="I1675" s="627"/>
      <c r="J1675" s="627"/>
      <c r="K1675" s="627"/>
      <c r="L1675" s="627"/>
      <c r="M1675" s="627"/>
      <c r="N1675" s="627"/>
      <c r="O1675" s="51"/>
      <c r="P1675" s="1592">
        <f>SUM(P1676:U1679)</f>
        <v>0</v>
      </c>
      <c r="Q1675" s="1593"/>
      <c r="R1675" s="1593"/>
      <c r="S1675" s="1593"/>
      <c r="T1675" s="1593"/>
      <c r="U1675" s="1594"/>
      <c r="V1675" s="40"/>
      <c r="W1675" s="130"/>
      <c r="X1675" s="130"/>
      <c r="Y1675" s="130"/>
      <c r="Z1675" s="130"/>
      <c r="AA1675" s="130"/>
      <c r="AB1675" s="130"/>
      <c r="AC1675" s="130"/>
      <c r="AD1675" s="130"/>
      <c r="AE1675" s="130"/>
    </row>
    <row r="1676" spans="1:31" s="141" customFormat="1" ht="12.75" customHeight="1">
      <c r="A1676" s="83"/>
      <c r="D1676" s="47"/>
      <c r="E1676" s="44" t="s">
        <v>1260</v>
      </c>
      <c r="F1676" s="627"/>
      <c r="G1676" s="627"/>
      <c r="H1676" s="627"/>
      <c r="I1676" s="627"/>
      <c r="J1676" s="627"/>
      <c r="K1676" s="627"/>
      <c r="L1676" s="627"/>
      <c r="M1676" s="627"/>
      <c r="N1676" s="627"/>
      <c r="O1676" s="51"/>
      <c r="P1676" s="1129">
        <f>'5.LO'!E217</f>
        <v>0</v>
      </c>
      <c r="Q1676" s="1130"/>
      <c r="R1676" s="1130"/>
      <c r="S1676" s="1130"/>
      <c r="T1676" s="1130"/>
      <c r="U1676" s="1131"/>
      <c r="V1676" s="39"/>
      <c r="W1676" s="130"/>
      <c r="X1676" s="130"/>
      <c r="Y1676" s="130"/>
      <c r="Z1676" s="130"/>
      <c r="AA1676" s="130"/>
      <c r="AB1676" s="130"/>
      <c r="AC1676" s="130"/>
      <c r="AD1676" s="130"/>
      <c r="AE1676" s="130"/>
    </row>
    <row r="1677" spans="1:31" s="141" customFormat="1" ht="12.75" customHeight="1">
      <c r="A1677" s="83"/>
      <c r="D1677" s="47"/>
      <c r="E1677" s="44" t="s">
        <v>1261</v>
      </c>
      <c r="F1677" s="627"/>
      <c r="G1677" s="627"/>
      <c r="H1677" s="627"/>
      <c r="I1677" s="627"/>
      <c r="J1677" s="627"/>
      <c r="K1677" s="627"/>
      <c r="L1677" s="627"/>
      <c r="M1677" s="627"/>
      <c r="N1677" s="627"/>
      <c r="O1677" s="51"/>
      <c r="P1677" s="1129">
        <f>'5.LO'!E218</f>
        <v>0</v>
      </c>
      <c r="Q1677" s="1130"/>
      <c r="R1677" s="1130"/>
      <c r="S1677" s="1130"/>
      <c r="T1677" s="1130"/>
      <c r="U1677" s="1131"/>
      <c r="V1677" s="39"/>
      <c r="W1677" s="130"/>
      <c r="X1677" s="130"/>
      <c r="Y1677" s="130"/>
      <c r="Z1677" s="130"/>
      <c r="AA1677" s="130"/>
      <c r="AB1677" s="130"/>
      <c r="AC1677" s="130"/>
      <c r="AD1677" s="130"/>
      <c r="AE1677" s="130"/>
    </row>
    <row r="1678" spans="1:31" s="141" customFormat="1" ht="12.75" customHeight="1">
      <c r="A1678" s="83"/>
      <c r="D1678" s="47"/>
      <c r="E1678" s="44" t="s">
        <v>1262</v>
      </c>
      <c r="F1678" s="627"/>
      <c r="G1678" s="627"/>
      <c r="H1678" s="627"/>
      <c r="I1678" s="627"/>
      <c r="J1678" s="627"/>
      <c r="K1678" s="627"/>
      <c r="L1678" s="627"/>
      <c r="M1678" s="627"/>
      <c r="N1678" s="627"/>
      <c r="O1678" s="51"/>
      <c r="P1678" s="1129">
        <f>'5.LO'!E219</f>
        <v>0</v>
      </c>
      <c r="Q1678" s="1130"/>
      <c r="R1678" s="1130"/>
      <c r="S1678" s="1130"/>
      <c r="T1678" s="1130"/>
      <c r="U1678" s="1131"/>
      <c r="V1678" s="39"/>
      <c r="W1678" s="130"/>
      <c r="X1678" s="130"/>
      <c r="Y1678" s="130"/>
      <c r="Z1678" s="130"/>
      <c r="AA1678" s="130"/>
      <c r="AB1678" s="130"/>
      <c r="AC1678" s="130"/>
      <c r="AD1678" s="130"/>
      <c r="AE1678" s="130"/>
    </row>
    <row r="1679" spans="1:31" s="141" customFormat="1" ht="12.75" customHeight="1">
      <c r="A1679" s="83"/>
      <c r="D1679" s="47"/>
      <c r="E1679" s="44" t="s">
        <v>1263</v>
      </c>
      <c r="F1679" s="627"/>
      <c r="G1679" s="627"/>
      <c r="H1679" s="627"/>
      <c r="I1679" s="627"/>
      <c r="J1679" s="627"/>
      <c r="K1679" s="627"/>
      <c r="L1679" s="627"/>
      <c r="M1679" s="627"/>
      <c r="N1679" s="627"/>
      <c r="O1679" s="51"/>
      <c r="P1679" s="1129">
        <f>'5.LO'!E220</f>
        <v>0</v>
      </c>
      <c r="Q1679" s="1130"/>
      <c r="R1679" s="1130"/>
      <c r="S1679" s="1130"/>
      <c r="T1679" s="1130"/>
      <c r="U1679" s="1131"/>
      <c r="V1679" s="39"/>
      <c r="W1679" s="130"/>
      <c r="X1679" s="130"/>
      <c r="Y1679" s="130"/>
      <c r="Z1679" s="130"/>
      <c r="AA1679" s="130"/>
      <c r="AB1679" s="130"/>
      <c r="AC1679" s="130"/>
      <c r="AD1679" s="130"/>
      <c r="AE1679" s="130"/>
    </row>
    <row r="1680" spans="1:31" s="141" customFormat="1" ht="20.25" customHeight="1">
      <c r="A1680" s="82"/>
      <c r="D1680" s="1558" t="s">
        <v>1181</v>
      </c>
      <c r="E1680" s="1595"/>
      <c r="F1680" s="1595"/>
      <c r="G1680" s="1595"/>
      <c r="H1680" s="1595"/>
      <c r="I1680" s="1595"/>
      <c r="J1680" s="1595"/>
      <c r="K1680" s="1595"/>
      <c r="L1680" s="1595"/>
      <c r="M1680" s="1595"/>
      <c r="N1680" s="1595"/>
      <c r="O1680" s="1596"/>
      <c r="P1680" s="1592">
        <f>P1675+P1672+P1669+P1666+P1659+P1646+P1644+P1642+P1639+P1637+P1615</f>
        <v>2374611800</v>
      </c>
      <c r="Q1680" s="1593"/>
      <c r="R1680" s="1593"/>
      <c r="S1680" s="1593"/>
      <c r="T1680" s="1593"/>
      <c r="U1680" s="1594"/>
      <c r="V1680" s="39"/>
      <c r="W1680" s="130"/>
      <c r="X1680" s="130"/>
      <c r="Y1680" s="130"/>
      <c r="Z1680" s="130"/>
      <c r="AA1680" s="130"/>
      <c r="AB1680" s="130"/>
      <c r="AC1680" s="130"/>
      <c r="AD1680" s="130"/>
      <c r="AE1680" s="130"/>
    </row>
    <row r="1681" spans="1:31" s="141" customFormat="1" ht="8.25" customHeight="1">
      <c r="A1681" s="82"/>
      <c r="D1681" s="54"/>
      <c r="E1681" s="54"/>
      <c r="F1681" s="54"/>
      <c r="G1681" s="54"/>
      <c r="H1681" s="54"/>
      <c r="I1681" s="54"/>
      <c r="J1681" s="54"/>
      <c r="K1681" s="54"/>
      <c r="L1681" s="54"/>
      <c r="M1681" s="54"/>
      <c r="N1681" s="54"/>
      <c r="O1681" s="54"/>
      <c r="P1681" s="55"/>
      <c r="Q1681" s="54"/>
      <c r="R1681" s="54"/>
      <c r="S1681" s="54"/>
      <c r="T1681" s="54"/>
      <c r="U1681" s="54"/>
      <c r="V1681" s="39"/>
      <c r="W1681" s="130"/>
      <c r="X1681" s="130"/>
      <c r="Y1681" s="130"/>
      <c r="Z1681" s="130"/>
      <c r="AA1681" s="130"/>
      <c r="AB1681" s="130"/>
      <c r="AC1681" s="130"/>
      <c r="AD1681" s="130"/>
      <c r="AE1681" s="130"/>
    </row>
    <row r="1682" spans="1:31" s="141" customFormat="1" ht="16.5" customHeight="1">
      <c r="A1682" s="82"/>
      <c r="C1682" s="74" t="s">
        <v>8</v>
      </c>
      <c r="D1682" s="1423" t="s">
        <v>96</v>
      </c>
      <c r="E1682" s="1423"/>
      <c r="F1682" s="1423"/>
      <c r="G1682" s="1423"/>
      <c r="H1682" s="1423"/>
      <c r="I1682" s="1423"/>
      <c r="J1682" s="1423"/>
      <c r="K1682" s="1423"/>
      <c r="L1682" s="1423"/>
      <c r="M1682" s="1423"/>
      <c r="N1682" s="1423"/>
      <c r="O1682" s="1423"/>
      <c r="P1682" s="1423"/>
      <c r="Q1682" s="1423"/>
      <c r="R1682" s="1423"/>
      <c r="S1682" s="1423"/>
      <c r="T1682" s="1423"/>
      <c r="U1682" s="1423"/>
      <c r="V1682" s="39"/>
      <c r="W1682" s="130"/>
      <c r="X1682" s="130"/>
      <c r="Y1682" s="130"/>
      <c r="Z1682" s="130"/>
      <c r="AA1682" s="130"/>
      <c r="AB1682" s="130"/>
      <c r="AC1682" s="130"/>
      <c r="AD1682" s="130"/>
      <c r="AE1682" s="130"/>
    </row>
    <row r="1683" spans="1:31" s="141" customFormat="1" ht="44.25" customHeight="1">
      <c r="A1683" s="82"/>
      <c r="D1683" s="1668" t="str">
        <f>"Jumlah Beban Persediaan Tahun Anggaran "&amp;'2.ISIAN DATA SKPD'!D11&amp;" dan tahun "&amp;'2.ISIAN DATA SKPD'!D12&amp;" adalah masing-masing sebesar Rp. 0 ,- dan  Rp. 0 . Naik/turun sebesar Rp. 0 atau 0 % dari tahun "&amp;"."</f>
        <v>Jumlah Beban Persediaan Tahun Anggaran 2017 dan tahun 2016 adalah masing-masing sebesar Rp. 0 ,- dan  Rp. 0 . Naik/turun sebesar Rp. 0 atau 0 % dari tahun .</v>
      </c>
      <c r="E1683" s="1668"/>
      <c r="F1683" s="1668"/>
      <c r="G1683" s="1668"/>
      <c r="H1683" s="1668"/>
      <c r="I1683" s="1668"/>
      <c r="J1683" s="1668"/>
      <c r="K1683" s="1668"/>
      <c r="L1683" s="1668"/>
      <c r="M1683" s="1668"/>
      <c r="N1683" s="1668"/>
      <c r="O1683" s="1668"/>
      <c r="P1683" s="1668"/>
      <c r="Q1683" s="1668"/>
      <c r="R1683" s="1668"/>
      <c r="S1683" s="1668"/>
      <c r="T1683" s="1668"/>
      <c r="U1683" s="1668"/>
      <c r="V1683" s="39"/>
      <c r="W1683" s="130"/>
      <c r="X1683" s="130"/>
      <c r="Y1683" s="130"/>
      <c r="Z1683" s="130"/>
      <c r="AA1683" s="130"/>
      <c r="AB1683" s="130"/>
      <c r="AC1683" s="130"/>
      <c r="AD1683" s="130"/>
      <c r="AE1683" s="130"/>
    </row>
    <row r="1684" spans="1:31" s="141" customFormat="1" ht="75.75" customHeight="1">
      <c r="A1684" s="82"/>
      <c r="D1684" s="1091" t="str">
        <f>"Beban Persediaan merupakan beban untuk mencatat konsumsi atas barang-barang  yang habis pakai, termasuk barang-barang hasil produksi baik yang dipasarkan maupun tidak dipasarkan atau diserahkan kepada masyarakat. Rincian Beban Persediaan untuk Tahun "&amp;'2.ISIAN DATA SKPD'!D11&amp;" adalah sebagai berikut: "</f>
        <v>Beban Persediaan merupakan beban untuk mencatat konsumsi atas barang-barang  yang habis pakai, termasuk barang-barang hasil produksi baik yang dipasarkan maupun tidak dipasarkan atau diserahkan kepada masyarakat. Rincian Beban Persediaan untuk Tahun 2017 adalah sebagai berikut: </v>
      </c>
      <c r="E1684" s="1091"/>
      <c r="F1684" s="1091"/>
      <c r="G1684" s="1091"/>
      <c r="H1684" s="1091"/>
      <c r="I1684" s="1091"/>
      <c r="J1684" s="1091"/>
      <c r="K1684" s="1091"/>
      <c r="L1684" s="1091"/>
      <c r="M1684" s="1091"/>
      <c r="N1684" s="1091"/>
      <c r="O1684" s="1091"/>
      <c r="P1684" s="1091"/>
      <c r="Q1684" s="1091"/>
      <c r="R1684" s="1091"/>
      <c r="S1684" s="1091"/>
      <c r="T1684" s="1091"/>
      <c r="U1684" s="1091"/>
      <c r="V1684" s="39"/>
      <c r="W1684" s="130"/>
      <c r="X1684" s="130"/>
      <c r="Y1684" s="130"/>
      <c r="Z1684" s="130"/>
      <c r="AA1684" s="130"/>
      <c r="AB1684" s="130"/>
      <c r="AC1684" s="130"/>
      <c r="AD1684" s="130"/>
      <c r="AE1684" s="130"/>
    </row>
    <row r="1685" spans="1:31" s="141" customFormat="1" ht="5.25" customHeight="1">
      <c r="A1685" s="82"/>
      <c r="D1685" s="702"/>
      <c r="E1685" s="702"/>
      <c r="F1685" s="702"/>
      <c r="G1685" s="702"/>
      <c r="H1685" s="702"/>
      <c r="I1685" s="702"/>
      <c r="J1685" s="702"/>
      <c r="K1685" s="702"/>
      <c r="L1685" s="702"/>
      <c r="M1685" s="702"/>
      <c r="N1685" s="702"/>
      <c r="O1685" s="702"/>
      <c r="P1685" s="702"/>
      <c r="Q1685" s="702"/>
      <c r="R1685" s="702"/>
      <c r="S1685" s="702"/>
      <c r="T1685" s="702"/>
      <c r="U1685" s="702"/>
      <c r="V1685" s="39"/>
      <c r="W1685" s="130"/>
      <c r="X1685" s="130"/>
      <c r="Y1685" s="130"/>
      <c r="Z1685" s="130"/>
      <c r="AA1685" s="130"/>
      <c r="AB1685" s="130"/>
      <c r="AC1685" s="130"/>
      <c r="AD1685" s="130"/>
      <c r="AE1685" s="130"/>
    </row>
    <row r="1686" spans="1:31" s="141" customFormat="1" ht="20.25" customHeight="1">
      <c r="A1686" s="650"/>
      <c r="C1686" s="56"/>
      <c r="D1686" s="1425" t="str">
        <f>"Rincian Beban Persediaan Tahun "&amp;'2.ISIAN DATA SKPD'!D11&amp;""</f>
        <v>Rincian Beban Persediaan Tahun 2017</v>
      </c>
      <c r="E1686" s="1425"/>
      <c r="F1686" s="1425"/>
      <c r="G1686" s="1425"/>
      <c r="H1686" s="1425"/>
      <c r="I1686" s="1425"/>
      <c r="J1686" s="1425"/>
      <c r="K1686" s="1425"/>
      <c r="L1686" s="1425"/>
      <c r="M1686" s="1425"/>
      <c r="N1686" s="1425"/>
      <c r="O1686" s="1425"/>
      <c r="P1686" s="1425"/>
      <c r="Q1686" s="1425"/>
      <c r="R1686" s="1425"/>
      <c r="S1686" s="1425"/>
      <c r="T1686" s="1425"/>
      <c r="U1686" s="1425"/>
      <c r="V1686" s="39"/>
      <c r="W1686" s="130"/>
      <c r="X1686" s="130"/>
      <c r="Y1686" s="130"/>
      <c r="Z1686" s="130"/>
      <c r="AA1686" s="130"/>
      <c r="AB1686" s="130"/>
      <c r="AC1686" s="130"/>
      <c r="AD1686" s="130"/>
      <c r="AE1686" s="130"/>
    </row>
    <row r="1687" spans="1:31" s="141" customFormat="1" ht="22.5" customHeight="1">
      <c r="A1687" s="650"/>
      <c r="B1687" s="14"/>
      <c r="C1687" s="14"/>
      <c r="D1687" s="1126" t="s">
        <v>1182</v>
      </c>
      <c r="E1687" s="1127"/>
      <c r="F1687" s="1127"/>
      <c r="G1687" s="1127"/>
      <c r="H1687" s="1127"/>
      <c r="I1687" s="1127"/>
      <c r="J1687" s="1127"/>
      <c r="K1687" s="1127"/>
      <c r="L1687" s="1127"/>
      <c r="M1687" s="1127"/>
      <c r="N1687" s="1127"/>
      <c r="O1687" s="1128"/>
      <c r="P1687" s="1324" t="s">
        <v>10</v>
      </c>
      <c r="Q1687" s="1324"/>
      <c r="R1687" s="1324"/>
      <c r="S1687" s="1324"/>
      <c r="T1687" s="1324"/>
      <c r="U1687" s="1324"/>
      <c r="V1687" s="39"/>
      <c r="W1687" s="130"/>
      <c r="X1687" s="130"/>
      <c r="Y1687" s="130"/>
      <c r="Z1687" s="130"/>
      <c r="AA1687" s="130"/>
      <c r="AB1687" s="130"/>
      <c r="AC1687" s="130"/>
      <c r="AD1687" s="130"/>
      <c r="AE1687" s="130"/>
    </row>
    <row r="1688" spans="1:31" s="141" customFormat="1" ht="14.25" customHeight="1">
      <c r="A1688" s="650"/>
      <c r="B1688" s="12"/>
      <c r="C1688" s="12"/>
      <c r="D1688" s="57" t="s">
        <v>1269</v>
      </c>
      <c r="E1688" s="17"/>
      <c r="F1688" s="25"/>
      <c r="G1688" s="25"/>
      <c r="H1688" s="25"/>
      <c r="I1688" s="25"/>
      <c r="J1688" s="25"/>
      <c r="K1688" s="25"/>
      <c r="L1688" s="25"/>
      <c r="M1688" s="25"/>
      <c r="N1688" s="25"/>
      <c r="O1688" s="41"/>
      <c r="P1688" s="1592">
        <f>SUM(P1689:U1698)</f>
        <v>31037425</v>
      </c>
      <c r="Q1688" s="1593"/>
      <c r="R1688" s="1593"/>
      <c r="S1688" s="1593"/>
      <c r="T1688" s="1593"/>
      <c r="U1688" s="1594"/>
      <c r="V1688" s="39"/>
      <c r="W1688" s="130"/>
      <c r="X1688" s="130"/>
      <c r="Y1688" s="130"/>
      <c r="Z1688" s="130"/>
      <c r="AA1688" s="130"/>
      <c r="AB1688" s="130"/>
      <c r="AC1688" s="130"/>
      <c r="AD1688" s="130"/>
      <c r="AE1688" s="130"/>
    </row>
    <row r="1689" spans="1:31" s="141" customFormat="1" ht="14.25" customHeight="1">
      <c r="A1689" s="650"/>
      <c r="B1689" s="12"/>
      <c r="C1689" s="12"/>
      <c r="D1689" s="20"/>
      <c r="E1689" s="19" t="s">
        <v>1264</v>
      </c>
      <c r="F1689" s="25"/>
      <c r="G1689" s="25"/>
      <c r="H1689" s="25"/>
      <c r="I1689" s="25"/>
      <c r="J1689" s="25"/>
      <c r="K1689" s="25"/>
      <c r="L1689" s="25"/>
      <c r="M1689" s="25"/>
      <c r="N1689" s="25"/>
      <c r="O1689" s="41"/>
      <c r="P1689" s="1129">
        <f>'5.LO'!E223</f>
        <v>31037425</v>
      </c>
      <c r="Q1689" s="1130"/>
      <c r="R1689" s="1130"/>
      <c r="S1689" s="1130"/>
      <c r="T1689" s="1130"/>
      <c r="U1689" s="1131"/>
      <c r="V1689" s="39"/>
      <c r="W1689" s="130"/>
      <c r="X1689" s="130"/>
      <c r="Y1689" s="130"/>
      <c r="Z1689" s="130"/>
      <c r="AA1689" s="130"/>
      <c r="AB1689" s="130"/>
      <c r="AC1689" s="130"/>
      <c r="AD1689" s="130"/>
      <c r="AE1689" s="130"/>
    </row>
    <row r="1690" spans="1:31" s="141" customFormat="1" ht="14.25" customHeight="1">
      <c r="A1690" s="650"/>
      <c r="B1690" s="12"/>
      <c r="C1690" s="12"/>
      <c r="D1690" s="20"/>
      <c r="E1690" s="19" t="s">
        <v>1265</v>
      </c>
      <c r="F1690" s="25"/>
      <c r="G1690" s="25"/>
      <c r="H1690" s="25"/>
      <c r="I1690" s="25"/>
      <c r="J1690" s="25"/>
      <c r="K1690" s="25"/>
      <c r="L1690" s="25"/>
      <c r="M1690" s="25"/>
      <c r="N1690" s="25"/>
      <c r="O1690" s="41"/>
      <c r="P1690" s="1129">
        <f>'5.LO'!E224</f>
        <v>0</v>
      </c>
      <c r="Q1690" s="1130"/>
      <c r="R1690" s="1130"/>
      <c r="S1690" s="1130"/>
      <c r="T1690" s="1130"/>
      <c r="U1690" s="1131"/>
      <c r="V1690" s="39"/>
      <c r="W1690" s="130"/>
      <c r="X1690" s="130"/>
      <c r="Y1690" s="130"/>
      <c r="Z1690" s="130"/>
      <c r="AA1690" s="130"/>
      <c r="AB1690" s="130"/>
      <c r="AC1690" s="130"/>
      <c r="AD1690" s="130"/>
      <c r="AE1690" s="130"/>
    </row>
    <row r="1691" spans="1:31" s="141" customFormat="1" ht="14.25" customHeight="1">
      <c r="A1691" s="650"/>
      <c r="B1691" s="12"/>
      <c r="C1691" s="12"/>
      <c r="D1691" s="20"/>
      <c r="E1691" s="19" t="s">
        <v>1266</v>
      </c>
      <c r="F1691" s="25"/>
      <c r="G1691" s="25"/>
      <c r="H1691" s="25"/>
      <c r="I1691" s="25"/>
      <c r="J1691" s="25"/>
      <c r="K1691" s="25"/>
      <c r="L1691" s="25"/>
      <c r="M1691" s="25"/>
      <c r="N1691" s="25"/>
      <c r="O1691" s="41"/>
      <c r="P1691" s="1129">
        <f>'5.LO'!E225</f>
        <v>0</v>
      </c>
      <c r="Q1691" s="1130"/>
      <c r="R1691" s="1130"/>
      <c r="S1691" s="1130"/>
      <c r="T1691" s="1130"/>
      <c r="U1691" s="1131"/>
      <c r="V1691" s="39"/>
      <c r="W1691" s="130"/>
      <c r="X1691" s="130"/>
      <c r="Y1691" s="130"/>
      <c r="Z1691" s="130"/>
      <c r="AA1691" s="130"/>
      <c r="AB1691" s="130"/>
      <c r="AC1691" s="130"/>
      <c r="AD1691" s="130"/>
      <c r="AE1691" s="130"/>
    </row>
    <row r="1692" spans="1:31" s="141" customFormat="1" ht="14.25" customHeight="1">
      <c r="A1692" s="650"/>
      <c r="B1692" s="12"/>
      <c r="C1692" s="12"/>
      <c r="D1692" s="20"/>
      <c r="E1692" s="19" t="s">
        <v>1267</v>
      </c>
      <c r="F1692" s="25"/>
      <c r="G1692" s="25"/>
      <c r="H1692" s="25"/>
      <c r="I1692" s="25"/>
      <c r="J1692" s="25"/>
      <c r="K1692" s="25"/>
      <c r="L1692" s="25"/>
      <c r="M1692" s="25"/>
      <c r="N1692" s="25"/>
      <c r="O1692" s="41"/>
      <c r="P1692" s="1129">
        <f>'5.LO'!E226</f>
        <v>0</v>
      </c>
      <c r="Q1692" s="1130"/>
      <c r="R1692" s="1130"/>
      <c r="S1692" s="1130"/>
      <c r="T1692" s="1130"/>
      <c r="U1692" s="1131"/>
      <c r="V1692" s="39"/>
      <c r="W1692" s="130"/>
      <c r="X1692" s="130"/>
      <c r="Y1692" s="130"/>
      <c r="Z1692" s="130"/>
      <c r="AA1692" s="130"/>
      <c r="AB1692" s="130"/>
      <c r="AC1692" s="130"/>
      <c r="AD1692" s="130"/>
      <c r="AE1692" s="130"/>
    </row>
    <row r="1693" spans="1:31" s="141" customFormat="1" ht="14.25" customHeight="1">
      <c r="A1693" s="650"/>
      <c r="B1693" s="12"/>
      <c r="C1693" s="12"/>
      <c r="D1693" s="20"/>
      <c r="E1693" s="19" t="s">
        <v>1268</v>
      </c>
      <c r="F1693" s="25"/>
      <c r="G1693" s="25"/>
      <c r="H1693" s="25"/>
      <c r="I1693" s="25"/>
      <c r="J1693" s="25"/>
      <c r="K1693" s="25"/>
      <c r="L1693" s="25"/>
      <c r="M1693" s="25"/>
      <c r="N1693" s="25"/>
      <c r="O1693" s="41"/>
      <c r="P1693" s="1129">
        <f>'5.LO'!E227</f>
        <v>0</v>
      </c>
      <c r="Q1693" s="1130"/>
      <c r="R1693" s="1130"/>
      <c r="S1693" s="1130"/>
      <c r="T1693" s="1130"/>
      <c r="U1693" s="1131"/>
      <c r="V1693" s="39"/>
      <c r="W1693" s="130"/>
      <c r="X1693" s="130"/>
      <c r="Y1693" s="130"/>
      <c r="Z1693" s="130"/>
      <c r="AA1693" s="130"/>
      <c r="AB1693" s="130"/>
      <c r="AC1693" s="130"/>
      <c r="AD1693" s="130"/>
      <c r="AE1693" s="130"/>
    </row>
    <row r="1694" spans="1:31" s="141" customFormat="1" ht="14.25" customHeight="1">
      <c r="A1694" s="650"/>
      <c r="B1694" s="12"/>
      <c r="C1694" s="12"/>
      <c r="D1694" s="20"/>
      <c r="E1694" s="19" t="s">
        <v>1270</v>
      </c>
      <c r="F1694" s="25"/>
      <c r="G1694" s="25"/>
      <c r="H1694" s="25"/>
      <c r="I1694" s="25"/>
      <c r="J1694" s="25"/>
      <c r="K1694" s="25"/>
      <c r="L1694" s="25"/>
      <c r="M1694" s="25"/>
      <c r="N1694" s="25"/>
      <c r="O1694" s="41"/>
      <c r="P1694" s="1129">
        <f>'5.LO'!E228</f>
        <v>0</v>
      </c>
      <c r="Q1694" s="1130"/>
      <c r="R1694" s="1130"/>
      <c r="S1694" s="1130"/>
      <c r="T1694" s="1130"/>
      <c r="U1694" s="1131"/>
      <c r="V1694" s="39"/>
      <c r="W1694" s="130"/>
      <c r="X1694" s="130"/>
      <c r="Y1694" s="130"/>
      <c r="Z1694" s="130"/>
      <c r="AA1694" s="130"/>
      <c r="AB1694" s="130"/>
      <c r="AC1694" s="130"/>
      <c r="AD1694" s="130"/>
      <c r="AE1694" s="130"/>
    </row>
    <row r="1695" spans="1:31" s="141" customFormat="1" ht="14.25" customHeight="1">
      <c r="A1695" s="650"/>
      <c r="B1695" s="12"/>
      <c r="C1695" s="12"/>
      <c r="D1695" s="20"/>
      <c r="E1695" s="19" t="s">
        <v>1271</v>
      </c>
      <c r="F1695" s="25"/>
      <c r="G1695" s="25"/>
      <c r="H1695" s="25"/>
      <c r="I1695" s="25"/>
      <c r="J1695" s="25"/>
      <c r="K1695" s="25"/>
      <c r="L1695" s="25"/>
      <c r="M1695" s="25"/>
      <c r="N1695" s="25"/>
      <c r="O1695" s="41"/>
      <c r="P1695" s="1129">
        <f>'5.LO'!E229</f>
        <v>0</v>
      </c>
      <c r="Q1695" s="1130"/>
      <c r="R1695" s="1130"/>
      <c r="S1695" s="1130"/>
      <c r="T1695" s="1130"/>
      <c r="U1695" s="1131"/>
      <c r="V1695" s="39"/>
      <c r="W1695" s="130"/>
      <c r="X1695" s="130"/>
      <c r="Y1695" s="130"/>
      <c r="Z1695" s="130"/>
      <c r="AA1695" s="130"/>
      <c r="AB1695" s="130"/>
      <c r="AC1695" s="130"/>
      <c r="AD1695" s="130"/>
      <c r="AE1695" s="130"/>
    </row>
    <row r="1696" spans="1:31" s="141" customFormat="1" ht="14.25" customHeight="1">
      <c r="A1696" s="650"/>
      <c r="B1696" s="12"/>
      <c r="C1696" s="12"/>
      <c r="D1696" s="20"/>
      <c r="E1696" s="19" t="s">
        <v>1272</v>
      </c>
      <c r="F1696" s="25"/>
      <c r="G1696" s="25"/>
      <c r="H1696" s="25"/>
      <c r="I1696" s="25"/>
      <c r="J1696" s="25"/>
      <c r="K1696" s="25"/>
      <c r="L1696" s="25"/>
      <c r="M1696" s="25"/>
      <c r="N1696" s="25"/>
      <c r="O1696" s="41"/>
      <c r="P1696" s="1129">
        <f>'5.LO'!E230</f>
        <v>0</v>
      </c>
      <c r="Q1696" s="1130"/>
      <c r="R1696" s="1130"/>
      <c r="S1696" s="1130"/>
      <c r="T1696" s="1130"/>
      <c r="U1696" s="1131"/>
      <c r="V1696" s="39"/>
      <c r="W1696" s="130"/>
      <c r="X1696" s="130"/>
      <c r="Y1696" s="130"/>
      <c r="Z1696" s="130"/>
      <c r="AA1696" s="130"/>
      <c r="AB1696" s="130"/>
      <c r="AC1696" s="130"/>
      <c r="AD1696" s="130"/>
      <c r="AE1696" s="130"/>
    </row>
    <row r="1697" spans="1:31" s="141" customFormat="1" ht="14.25" customHeight="1">
      <c r="A1697" s="650"/>
      <c r="B1697" s="12"/>
      <c r="C1697" s="12"/>
      <c r="D1697" s="20"/>
      <c r="E1697" s="19" t="s">
        <v>1273</v>
      </c>
      <c r="F1697" s="25"/>
      <c r="G1697" s="25"/>
      <c r="H1697" s="25"/>
      <c r="I1697" s="25"/>
      <c r="J1697" s="25"/>
      <c r="K1697" s="25"/>
      <c r="L1697" s="25"/>
      <c r="M1697" s="25"/>
      <c r="N1697" s="25"/>
      <c r="O1697" s="41"/>
      <c r="P1697" s="1129">
        <f>'5.LO'!E231</f>
        <v>0</v>
      </c>
      <c r="Q1697" s="1130"/>
      <c r="R1697" s="1130"/>
      <c r="S1697" s="1130"/>
      <c r="T1697" s="1130"/>
      <c r="U1697" s="1131"/>
      <c r="V1697" s="39"/>
      <c r="W1697" s="130"/>
      <c r="X1697" s="130"/>
      <c r="Y1697" s="130"/>
      <c r="Z1697" s="130"/>
      <c r="AA1697" s="130"/>
      <c r="AB1697" s="130"/>
      <c r="AC1697" s="130"/>
      <c r="AD1697" s="130"/>
      <c r="AE1697" s="130"/>
    </row>
    <row r="1698" spans="1:31" s="141" customFormat="1" ht="14.25" customHeight="1">
      <c r="A1698" s="650"/>
      <c r="B1698" s="12"/>
      <c r="C1698" s="12"/>
      <c r="D1698" s="20"/>
      <c r="E1698" s="19" t="s">
        <v>1274</v>
      </c>
      <c r="F1698" s="25"/>
      <c r="G1698" s="25"/>
      <c r="H1698" s="25"/>
      <c r="I1698" s="25"/>
      <c r="J1698" s="25"/>
      <c r="K1698" s="25"/>
      <c r="L1698" s="25"/>
      <c r="M1698" s="25"/>
      <c r="N1698" s="25"/>
      <c r="O1698" s="41"/>
      <c r="P1698" s="1129">
        <f>'5.LO'!E232</f>
        <v>0</v>
      </c>
      <c r="Q1698" s="1130"/>
      <c r="R1698" s="1130"/>
      <c r="S1698" s="1130"/>
      <c r="T1698" s="1130"/>
      <c r="U1698" s="1131"/>
      <c r="V1698" s="39"/>
      <c r="W1698" s="130"/>
      <c r="X1698" s="130"/>
      <c r="Y1698" s="130"/>
      <c r="Z1698" s="130"/>
      <c r="AA1698" s="130"/>
      <c r="AB1698" s="130"/>
      <c r="AC1698" s="130"/>
      <c r="AD1698" s="130"/>
      <c r="AE1698" s="130"/>
    </row>
    <row r="1699" spans="1:31" s="141" customFormat="1" ht="14.25" customHeight="1">
      <c r="A1699" s="650"/>
      <c r="B1699" s="12"/>
      <c r="C1699" s="12"/>
      <c r="D1699" s="57" t="s">
        <v>1656</v>
      </c>
      <c r="E1699" s="17"/>
      <c r="F1699" s="25"/>
      <c r="G1699" s="25"/>
      <c r="H1699" s="25"/>
      <c r="I1699" s="25"/>
      <c r="J1699" s="25"/>
      <c r="K1699" s="25"/>
      <c r="L1699" s="25"/>
      <c r="M1699" s="25"/>
      <c r="N1699" s="25"/>
      <c r="O1699" s="41"/>
      <c r="P1699" s="1592">
        <f>SUM(P1700:U1702)</f>
        <v>0</v>
      </c>
      <c r="Q1699" s="1593"/>
      <c r="R1699" s="1593"/>
      <c r="S1699" s="1593"/>
      <c r="T1699" s="1593"/>
      <c r="U1699" s="1594"/>
      <c r="V1699" s="39"/>
      <c r="W1699" s="130"/>
      <c r="X1699" s="130"/>
      <c r="Y1699" s="130"/>
      <c r="Z1699" s="130"/>
      <c r="AA1699" s="130"/>
      <c r="AB1699" s="130"/>
      <c r="AC1699" s="130"/>
      <c r="AD1699" s="130"/>
      <c r="AE1699" s="130"/>
    </row>
    <row r="1700" spans="1:31" s="141" customFormat="1" ht="14.25" customHeight="1">
      <c r="A1700" s="650"/>
      <c r="B1700" s="12"/>
      <c r="C1700" s="12"/>
      <c r="D1700" s="20"/>
      <c r="E1700" s="19" t="s">
        <v>1275</v>
      </c>
      <c r="F1700" s="25"/>
      <c r="G1700" s="25"/>
      <c r="H1700" s="25"/>
      <c r="I1700" s="25"/>
      <c r="J1700" s="25"/>
      <c r="K1700" s="25"/>
      <c r="L1700" s="25"/>
      <c r="M1700" s="25"/>
      <c r="N1700" s="25"/>
      <c r="O1700" s="41"/>
      <c r="P1700" s="1129">
        <f>'5.LO'!E234</f>
        <v>0</v>
      </c>
      <c r="Q1700" s="1130"/>
      <c r="R1700" s="1130"/>
      <c r="S1700" s="1130"/>
      <c r="T1700" s="1130"/>
      <c r="U1700" s="1131"/>
      <c r="V1700" s="39"/>
      <c r="W1700" s="130"/>
      <c r="X1700" s="130"/>
      <c r="Y1700" s="130"/>
      <c r="Z1700" s="130"/>
      <c r="AA1700" s="130"/>
      <c r="AB1700" s="130"/>
      <c r="AC1700" s="130"/>
      <c r="AD1700" s="130"/>
      <c r="AE1700" s="130"/>
    </row>
    <row r="1701" spans="1:31" s="141" customFormat="1" ht="14.25" customHeight="1">
      <c r="A1701" s="650"/>
      <c r="B1701" s="12"/>
      <c r="C1701" s="12"/>
      <c r="D1701" s="20"/>
      <c r="E1701" s="42" t="s">
        <v>1332</v>
      </c>
      <c r="F1701" s="25"/>
      <c r="G1701" s="25"/>
      <c r="H1701" s="25"/>
      <c r="I1701" s="25"/>
      <c r="J1701" s="25"/>
      <c r="K1701" s="25"/>
      <c r="L1701" s="25"/>
      <c r="M1701" s="25"/>
      <c r="N1701" s="25"/>
      <c r="O1701" s="41"/>
      <c r="P1701" s="805"/>
      <c r="Q1701" s="806"/>
      <c r="R1701" s="806"/>
      <c r="S1701" s="806"/>
      <c r="T1701" s="806"/>
      <c r="U1701" s="807"/>
      <c r="V1701" s="39"/>
      <c r="W1701" s="130"/>
      <c r="X1701" s="130"/>
      <c r="Y1701" s="130"/>
      <c r="Z1701" s="130"/>
      <c r="AA1701" s="130"/>
      <c r="AB1701" s="130"/>
      <c r="AC1701" s="130"/>
      <c r="AD1701" s="130"/>
      <c r="AE1701" s="130"/>
    </row>
    <row r="1702" spans="1:31" s="141" customFormat="1" ht="14.25" customHeight="1">
      <c r="A1702" s="650"/>
      <c r="B1702" s="12"/>
      <c r="C1702" s="12"/>
      <c r="D1702" s="20"/>
      <c r="E1702" s="42" t="s">
        <v>1333</v>
      </c>
      <c r="F1702" s="25"/>
      <c r="G1702" s="25"/>
      <c r="H1702" s="25"/>
      <c r="I1702" s="25"/>
      <c r="J1702" s="25"/>
      <c r="K1702" s="25"/>
      <c r="L1702" s="25"/>
      <c r="M1702" s="25"/>
      <c r="N1702" s="25"/>
      <c r="O1702" s="41"/>
      <c r="P1702" s="805"/>
      <c r="Q1702" s="806"/>
      <c r="R1702" s="806"/>
      <c r="S1702" s="806"/>
      <c r="T1702" s="806"/>
      <c r="U1702" s="807"/>
      <c r="V1702" s="39"/>
      <c r="W1702" s="130"/>
      <c r="X1702" s="130"/>
      <c r="Y1702" s="130"/>
      <c r="Z1702" s="130"/>
      <c r="AA1702" s="130"/>
      <c r="AB1702" s="130"/>
      <c r="AC1702" s="130"/>
      <c r="AD1702" s="130"/>
      <c r="AE1702" s="130"/>
    </row>
    <row r="1703" spans="1:31" s="141" customFormat="1" ht="14.25" customHeight="1">
      <c r="A1703" s="650"/>
      <c r="B1703" s="12"/>
      <c r="C1703" s="12"/>
      <c r="D1703" s="57" t="s">
        <v>1276</v>
      </c>
      <c r="E1703" s="17"/>
      <c r="F1703" s="25"/>
      <c r="G1703" s="25"/>
      <c r="H1703" s="25"/>
      <c r="I1703" s="25"/>
      <c r="J1703" s="25"/>
      <c r="K1703" s="25"/>
      <c r="L1703" s="25"/>
      <c r="M1703" s="25"/>
      <c r="N1703" s="25"/>
      <c r="O1703" s="41"/>
      <c r="P1703" s="1592">
        <f>SUM(P1704:U1719)</f>
        <v>0</v>
      </c>
      <c r="Q1703" s="1593"/>
      <c r="R1703" s="1593"/>
      <c r="S1703" s="1593"/>
      <c r="T1703" s="1593"/>
      <c r="U1703" s="1594"/>
      <c r="V1703" s="39"/>
      <c r="W1703" s="130"/>
      <c r="X1703" s="130"/>
      <c r="Y1703" s="130"/>
      <c r="Z1703" s="130"/>
      <c r="AA1703" s="130"/>
      <c r="AB1703" s="130"/>
      <c r="AC1703" s="130"/>
      <c r="AD1703" s="130"/>
      <c r="AE1703" s="130"/>
    </row>
    <row r="1704" spans="1:31" s="141" customFormat="1" ht="14.25" customHeight="1">
      <c r="A1704" s="650"/>
      <c r="B1704" s="12"/>
      <c r="C1704" s="12"/>
      <c r="D1704" s="20"/>
      <c r="E1704" s="19" t="s">
        <v>1277</v>
      </c>
      <c r="F1704" s="25"/>
      <c r="G1704" s="25"/>
      <c r="H1704" s="25"/>
      <c r="I1704" s="25"/>
      <c r="J1704" s="25"/>
      <c r="K1704" s="25"/>
      <c r="L1704" s="25"/>
      <c r="M1704" s="25"/>
      <c r="N1704" s="25"/>
      <c r="O1704" s="41"/>
      <c r="P1704" s="1129">
        <f>'5.LO'!E238</f>
        <v>0</v>
      </c>
      <c r="Q1704" s="1130"/>
      <c r="R1704" s="1130"/>
      <c r="S1704" s="1130"/>
      <c r="T1704" s="1130"/>
      <c r="U1704" s="1131"/>
      <c r="V1704" s="39"/>
      <c r="W1704" s="130"/>
      <c r="X1704" s="130"/>
      <c r="Y1704" s="130"/>
      <c r="Z1704" s="130"/>
      <c r="AA1704" s="130"/>
      <c r="AB1704" s="130"/>
      <c r="AC1704" s="130"/>
      <c r="AD1704" s="130"/>
      <c r="AE1704" s="130"/>
    </row>
    <row r="1705" spans="1:31" s="141" customFormat="1" ht="14.25" customHeight="1">
      <c r="A1705" s="650"/>
      <c r="B1705" s="12"/>
      <c r="C1705" s="12"/>
      <c r="D1705" s="20"/>
      <c r="E1705" s="19" t="s">
        <v>1278</v>
      </c>
      <c r="F1705" s="25"/>
      <c r="G1705" s="25"/>
      <c r="H1705" s="25"/>
      <c r="I1705" s="25"/>
      <c r="J1705" s="25"/>
      <c r="K1705" s="25"/>
      <c r="L1705" s="25"/>
      <c r="M1705" s="25"/>
      <c r="N1705" s="25"/>
      <c r="O1705" s="41"/>
      <c r="P1705" s="1129">
        <f>'5.LO'!E239</f>
        <v>0</v>
      </c>
      <c r="Q1705" s="1130"/>
      <c r="R1705" s="1130"/>
      <c r="S1705" s="1130"/>
      <c r="T1705" s="1130"/>
      <c r="U1705" s="1131"/>
      <c r="V1705" s="39"/>
      <c r="W1705" s="130"/>
      <c r="X1705" s="130"/>
      <c r="Y1705" s="130"/>
      <c r="Z1705" s="130"/>
      <c r="AA1705" s="130"/>
      <c r="AB1705" s="130"/>
      <c r="AC1705" s="130"/>
      <c r="AD1705" s="130"/>
      <c r="AE1705" s="130"/>
    </row>
    <row r="1706" spans="1:31" s="141" customFormat="1" ht="14.25" customHeight="1">
      <c r="A1706" s="650"/>
      <c r="B1706" s="12"/>
      <c r="C1706" s="12"/>
      <c r="D1706" s="20"/>
      <c r="E1706" s="19" t="s">
        <v>1279</v>
      </c>
      <c r="F1706" s="25"/>
      <c r="G1706" s="25"/>
      <c r="H1706" s="25"/>
      <c r="I1706" s="25"/>
      <c r="J1706" s="25"/>
      <c r="K1706" s="25"/>
      <c r="L1706" s="25"/>
      <c r="M1706" s="25"/>
      <c r="N1706" s="25"/>
      <c r="O1706" s="41"/>
      <c r="P1706" s="1129">
        <f>'5.LO'!E240</f>
        <v>0</v>
      </c>
      <c r="Q1706" s="1130"/>
      <c r="R1706" s="1130"/>
      <c r="S1706" s="1130"/>
      <c r="T1706" s="1130"/>
      <c r="U1706" s="1131"/>
      <c r="V1706" s="39"/>
      <c r="W1706" s="130"/>
      <c r="X1706" s="130"/>
      <c r="Y1706" s="130"/>
      <c r="Z1706" s="130"/>
      <c r="AA1706" s="130"/>
      <c r="AB1706" s="130"/>
      <c r="AC1706" s="130"/>
      <c r="AD1706" s="130"/>
      <c r="AE1706" s="130"/>
    </row>
    <row r="1707" spans="1:31" s="141" customFormat="1" ht="14.25" customHeight="1">
      <c r="A1707" s="650"/>
      <c r="B1707" s="12"/>
      <c r="C1707" s="12"/>
      <c r="D1707" s="20"/>
      <c r="E1707" s="19" t="s">
        <v>1280</v>
      </c>
      <c r="F1707" s="25"/>
      <c r="G1707" s="25"/>
      <c r="H1707" s="25"/>
      <c r="I1707" s="25"/>
      <c r="J1707" s="25"/>
      <c r="K1707" s="25"/>
      <c r="L1707" s="25"/>
      <c r="M1707" s="25"/>
      <c r="N1707" s="25"/>
      <c r="O1707" s="41"/>
      <c r="P1707" s="1129">
        <f>'5.LO'!E241</f>
        <v>0</v>
      </c>
      <c r="Q1707" s="1130"/>
      <c r="R1707" s="1130"/>
      <c r="S1707" s="1130"/>
      <c r="T1707" s="1130"/>
      <c r="U1707" s="1131"/>
      <c r="V1707" s="39"/>
      <c r="W1707" s="130"/>
      <c r="X1707" s="130"/>
      <c r="Y1707" s="130"/>
      <c r="Z1707" s="130"/>
      <c r="AA1707" s="130"/>
      <c r="AB1707" s="130"/>
      <c r="AC1707" s="130"/>
      <c r="AD1707" s="130"/>
      <c r="AE1707" s="130"/>
    </row>
    <row r="1708" spans="1:31" s="141" customFormat="1" ht="14.25" customHeight="1">
      <c r="A1708" s="650"/>
      <c r="B1708" s="12"/>
      <c r="C1708" s="12"/>
      <c r="D1708" s="20"/>
      <c r="E1708" s="19" t="s">
        <v>1281</v>
      </c>
      <c r="F1708" s="25"/>
      <c r="G1708" s="25"/>
      <c r="H1708" s="25"/>
      <c r="I1708" s="25"/>
      <c r="J1708" s="25"/>
      <c r="K1708" s="25"/>
      <c r="L1708" s="25"/>
      <c r="M1708" s="25"/>
      <c r="N1708" s="25"/>
      <c r="O1708" s="41"/>
      <c r="P1708" s="1129">
        <f>'5.LO'!E242</f>
        <v>0</v>
      </c>
      <c r="Q1708" s="1130"/>
      <c r="R1708" s="1130"/>
      <c r="S1708" s="1130"/>
      <c r="T1708" s="1130"/>
      <c r="U1708" s="1131"/>
      <c r="V1708" s="39"/>
      <c r="W1708" s="130"/>
      <c r="X1708" s="130"/>
      <c r="Y1708" s="130"/>
      <c r="Z1708" s="130"/>
      <c r="AA1708" s="130"/>
      <c r="AB1708" s="130"/>
      <c r="AC1708" s="130"/>
      <c r="AD1708" s="130"/>
      <c r="AE1708" s="130"/>
    </row>
    <row r="1709" spans="1:31" s="141" customFormat="1" ht="14.25" customHeight="1">
      <c r="A1709" s="650"/>
      <c r="B1709" s="12"/>
      <c r="C1709" s="12"/>
      <c r="D1709" s="20"/>
      <c r="E1709" s="19" t="s">
        <v>1282</v>
      </c>
      <c r="F1709" s="25"/>
      <c r="G1709" s="25"/>
      <c r="H1709" s="25"/>
      <c r="I1709" s="25"/>
      <c r="J1709" s="25"/>
      <c r="K1709" s="25"/>
      <c r="L1709" s="25"/>
      <c r="M1709" s="25"/>
      <c r="N1709" s="25"/>
      <c r="O1709" s="41"/>
      <c r="P1709" s="1129">
        <f>'5.LO'!E243</f>
        <v>0</v>
      </c>
      <c r="Q1709" s="1130"/>
      <c r="R1709" s="1130"/>
      <c r="S1709" s="1130"/>
      <c r="T1709" s="1130"/>
      <c r="U1709" s="1131"/>
      <c r="V1709" s="39"/>
      <c r="W1709" s="130"/>
      <c r="X1709" s="130"/>
      <c r="Y1709" s="130"/>
      <c r="Z1709" s="130"/>
      <c r="AA1709" s="130"/>
      <c r="AB1709" s="130"/>
      <c r="AC1709" s="130"/>
      <c r="AD1709" s="130"/>
      <c r="AE1709" s="130"/>
    </row>
    <row r="1710" spans="1:31" s="141" customFormat="1" ht="14.25" customHeight="1">
      <c r="A1710" s="650"/>
      <c r="B1710" s="12"/>
      <c r="C1710" s="12"/>
      <c r="D1710" s="20"/>
      <c r="E1710" s="19" t="s">
        <v>1283</v>
      </c>
      <c r="F1710" s="25"/>
      <c r="G1710" s="25"/>
      <c r="H1710" s="25"/>
      <c r="I1710" s="25"/>
      <c r="J1710" s="25"/>
      <c r="K1710" s="25"/>
      <c r="L1710" s="25"/>
      <c r="M1710" s="25"/>
      <c r="N1710" s="25"/>
      <c r="O1710" s="41"/>
      <c r="P1710" s="1129">
        <f>'5.LO'!E244</f>
        <v>0</v>
      </c>
      <c r="Q1710" s="1130"/>
      <c r="R1710" s="1130"/>
      <c r="S1710" s="1130"/>
      <c r="T1710" s="1130"/>
      <c r="U1710" s="1131"/>
      <c r="V1710" s="39"/>
      <c r="W1710" s="130"/>
      <c r="X1710" s="130"/>
      <c r="Y1710" s="130"/>
      <c r="Z1710" s="130"/>
      <c r="AA1710" s="130"/>
      <c r="AB1710" s="130"/>
      <c r="AC1710" s="130"/>
      <c r="AD1710" s="130"/>
      <c r="AE1710" s="130"/>
    </row>
    <row r="1711" spans="1:31" s="141" customFormat="1" ht="14.25" customHeight="1">
      <c r="A1711" s="650"/>
      <c r="B1711" s="12"/>
      <c r="C1711" s="12"/>
      <c r="D1711" s="20"/>
      <c r="E1711" s="19" t="s">
        <v>1284</v>
      </c>
      <c r="F1711" s="25"/>
      <c r="G1711" s="25"/>
      <c r="H1711" s="25"/>
      <c r="I1711" s="25"/>
      <c r="J1711" s="25"/>
      <c r="K1711" s="25"/>
      <c r="L1711" s="25"/>
      <c r="M1711" s="25"/>
      <c r="N1711" s="25"/>
      <c r="O1711" s="41"/>
      <c r="P1711" s="1129">
        <f>'5.LO'!E245</f>
        <v>0</v>
      </c>
      <c r="Q1711" s="1130"/>
      <c r="R1711" s="1130"/>
      <c r="S1711" s="1130"/>
      <c r="T1711" s="1130"/>
      <c r="U1711" s="1131"/>
      <c r="V1711" s="39"/>
      <c r="W1711" s="130"/>
      <c r="X1711" s="130"/>
      <c r="Y1711" s="130"/>
      <c r="Z1711" s="130"/>
      <c r="AA1711" s="130"/>
      <c r="AB1711" s="130"/>
      <c r="AC1711" s="130"/>
      <c r="AD1711" s="130"/>
      <c r="AE1711" s="130"/>
    </row>
    <row r="1712" spans="1:31" s="141" customFormat="1" ht="14.25" customHeight="1">
      <c r="A1712" s="650"/>
      <c r="B1712" s="12"/>
      <c r="C1712" s="12"/>
      <c r="D1712" s="20"/>
      <c r="E1712" s="19" t="s">
        <v>1285</v>
      </c>
      <c r="F1712" s="25"/>
      <c r="G1712" s="25"/>
      <c r="H1712" s="25"/>
      <c r="I1712" s="25"/>
      <c r="J1712" s="25"/>
      <c r="K1712" s="25"/>
      <c r="L1712" s="25"/>
      <c r="M1712" s="25"/>
      <c r="N1712" s="25"/>
      <c r="O1712" s="41"/>
      <c r="P1712" s="1129">
        <f>'5.LO'!E246</f>
        <v>0</v>
      </c>
      <c r="Q1712" s="1130"/>
      <c r="R1712" s="1130"/>
      <c r="S1712" s="1130"/>
      <c r="T1712" s="1130"/>
      <c r="U1712" s="1131"/>
      <c r="V1712" s="39"/>
      <c r="W1712" s="130"/>
      <c r="X1712" s="130"/>
      <c r="Y1712" s="130"/>
      <c r="Z1712" s="130"/>
      <c r="AA1712" s="130"/>
      <c r="AB1712" s="130"/>
      <c r="AC1712" s="130"/>
      <c r="AD1712" s="130"/>
      <c r="AE1712" s="130"/>
    </row>
    <row r="1713" spans="1:31" s="141" customFormat="1" ht="14.25" customHeight="1">
      <c r="A1713" s="650"/>
      <c r="B1713" s="12"/>
      <c r="C1713" s="12"/>
      <c r="D1713" s="20"/>
      <c r="E1713" s="19" t="s">
        <v>1286</v>
      </c>
      <c r="F1713" s="25"/>
      <c r="G1713" s="25"/>
      <c r="H1713" s="25"/>
      <c r="I1713" s="25"/>
      <c r="J1713" s="25"/>
      <c r="K1713" s="25"/>
      <c r="L1713" s="25"/>
      <c r="M1713" s="25"/>
      <c r="N1713" s="25"/>
      <c r="O1713" s="41"/>
      <c r="P1713" s="1129">
        <f>'5.LO'!E247</f>
        <v>0</v>
      </c>
      <c r="Q1713" s="1130"/>
      <c r="R1713" s="1130"/>
      <c r="S1713" s="1130"/>
      <c r="T1713" s="1130"/>
      <c r="U1713" s="1131"/>
      <c r="V1713" s="39"/>
      <c r="W1713" s="130"/>
      <c r="X1713" s="130"/>
      <c r="Y1713" s="130"/>
      <c r="Z1713" s="130"/>
      <c r="AA1713" s="130"/>
      <c r="AB1713" s="130"/>
      <c r="AC1713" s="130"/>
      <c r="AD1713" s="130"/>
      <c r="AE1713" s="130"/>
    </row>
    <row r="1714" spans="1:31" s="141" customFormat="1" ht="14.25" customHeight="1">
      <c r="A1714" s="650"/>
      <c r="B1714" s="12"/>
      <c r="C1714" s="12"/>
      <c r="D1714" s="20"/>
      <c r="E1714" s="19" t="s">
        <v>1287</v>
      </c>
      <c r="F1714" s="25"/>
      <c r="G1714" s="25"/>
      <c r="H1714" s="25"/>
      <c r="I1714" s="25"/>
      <c r="J1714" s="25"/>
      <c r="K1714" s="25"/>
      <c r="L1714" s="25"/>
      <c r="M1714" s="25"/>
      <c r="N1714" s="25"/>
      <c r="O1714" s="41"/>
      <c r="P1714" s="1129">
        <f>'5.LO'!E248</f>
        <v>0</v>
      </c>
      <c r="Q1714" s="1130"/>
      <c r="R1714" s="1130"/>
      <c r="S1714" s="1130"/>
      <c r="T1714" s="1130"/>
      <c r="U1714" s="1131"/>
      <c r="V1714" s="39"/>
      <c r="W1714" s="130"/>
      <c r="X1714" s="130"/>
      <c r="Y1714" s="130"/>
      <c r="Z1714" s="130"/>
      <c r="AA1714" s="130"/>
      <c r="AB1714" s="130"/>
      <c r="AC1714" s="130"/>
      <c r="AD1714" s="130"/>
      <c r="AE1714" s="130"/>
    </row>
    <row r="1715" spans="1:31" s="141" customFormat="1" ht="14.25" customHeight="1">
      <c r="A1715" s="650"/>
      <c r="B1715" s="12"/>
      <c r="C1715" s="12"/>
      <c r="D1715" s="20"/>
      <c r="E1715" s="19" t="s">
        <v>1288</v>
      </c>
      <c r="F1715" s="25"/>
      <c r="G1715" s="25"/>
      <c r="H1715" s="25"/>
      <c r="I1715" s="25"/>
      <c r="J1715" s="25"/>
      <c r="K1715" s="25"/>
      <c r="L1715" s="25"/>
      <c r="M1715" s="25"/>
      <c r="N1715" s="25"/>
      <c r="O1715" s="41"/>
      <c r="P1715" s="1129">
        <f>'5.LO'!E249</f>
        <v>0</v>
      </c>
      <c r="Q1715" s="1130"/>
      <c r="R1715" s="1130"/>
      <c r="S1715" s="1130"/>
      <c r="T1715" s="1130"/>
      <c r="U1715" s="1131"/>
      <c r="V1715" s="39"/>
      <c r="W1715" s="130"/>
      <c r="X1715" s="130"/>
      <c r="Y1715" s="130"/>
      <c r="Z1715" s="130"/>
      <c r="AA1715" s="130"/>
      <c r="AB1715" s="130"/>
      <c r="AC1715" s="130"/>
      <c r="AD1715" s="130"/>
      <c r="AE1715" s="130"/>
    </row>
    <row r="1716" spans="1:31" s="141" customFormat="1" ht="14.25" customHeight="1">
      <c r="A1716" s="650"/>
      <c r="B1716" s="12"/>
      <c r="C1716" s="12"/>
      <c r="D1716" s="20"/>
      <c r="E1716" s="19" t="s">
        <v>1289</v>
      </c>
      <c r="F1716" s="25"/>
      <c r="G1716" s="25"/>
      <c r="H1716" s="25"/>
      <c r="I1716" s="25"/>
      <c r="J1716" s="25"/>
      <c r="K1716" s="25"/>
      <c r="L1716" s="25"/>
      <c r="M1716" s="25"/>
      <c r="N1716" s="25"/>
      <c r="O1716" s="41"/>
      <c r="P1716" s="1129">
        <f>'5.LO'!E250</f>
        <v>0</v>
      </c>
      <c r="Q1716" s="1130"/>
      <c r="R1716" s="1130"/>
      <c r="S1716" s="1130"/>
      <c r="T1716" s="1130"/>
      <c r="U1716" s="1131"/>
      <c r="V1716" s="39"/>
      <c r="W1716" s="130"/>
      <c r="X1716" s="130"/>
      <c r="Y1716" s="130"/>
      <c r="Z1716" s="130"/>
      <c r="AA1716" s="130"/>
      <c r="AB1716" s="130"/>
      <c r="AC1716" s="130"/>
      <c r="AD1716" s="130"/>
      <c r="AE1716" s="130"/>
    </row>
    <row r="1717" spans="1:31" s="141" customFormat="1" ht="14.25" customHeight="1">
      <c r="A1717" s="650"/>
      <c r="B1717" s="12"/>
      <c r="C1717" s="12"/>
      <c r="D1717" s="20"/>
      <c r="E1717" s="19" t="s">
        <v>1290</v>
      </c>
      <c r="F1717" s="25"/>
      <c r="G1717" s="25"/>
      <c r="H1717" s="25"/>
      <c r="I1717" s="25"/>
      <c r="J1717" s="25"/>
      <c r="K1717" s="25"/>
      <c r="L1717" s="25"/>
      <c r="M1717" s="25"/>
      <c r="N1717" s="25"/>
      <c r="O1717" s="41"/>
      <c r="P1717" s="1129">
        <f>'5.LO'!E251</f>
        <v>0</v>
      </c>
      <c r="Q1717" s="1130"/>
      <c r="R1717" s="1130"/>
      <c r="S1717" s="1130"/>
      <c r="T1717" s="1130"/>
      <c r="U1717" s="1131"/>
      <c r="V1717" s="39"/>
      <c r="W1717" s="130"/>
      <c r="X1717" s="130"/>
      <c r="Y1717" s="130"/>
      <c r="Z1717" s="130"/>
      <c r="AA1717" s="130"/>
      <c r="AB1717" s="130"/>
      <c r="AC1717" s="130"/>
      <c r="AD1717" s="130"/>
      <c r="AE1717" s="130"/>
    </row>
    <row r="1718" spans="1:31" s="141" customFormat="1" ht="14.25" customHeight="1">
      <c r="A1718" s="650"/>
      <c r="B1718" s="12"/>
      <c r="C1718" s="12"/>
      <c r="D1718" s="20"/>
      <c r="E1718" s="19" t="s">
        <v>1291</v>
      </c>
      <c r="F1718" s="25"/>
      <c r="G1718" s="25"/>
      <c r="H1718" s="25"/>
      <c r="I1718" s="25"/>
      <c r="J1718" s="25"/>
      <c r="K1718" s="25"/>
      <c r="L1718" s="25"/>
      <c r="M1718" s="25"/>
      <c r="N1718" s="25"/>
      <c r="O1718" s="41"/>
      <c r="P1718" s="1129">
        <f>'5.LO'!E252</f>
        <v>0</v>
      </c>
      <c r="Q1718" s="1130"/>
      <c r="R1718" s="1130"/>
      <c r="S1718" s="1130"/>
      <c r="T1718" s="1130"/>
      <c r="U1718" s="1131"/>
      <c r="V1718" s="39"/>
      <c r="W1718" s="130"/>
      <c r="X1718" s="130"/>
      <c r="Y1718" s="130"/>
      <c r="Z1718" s="130"/>
      <c r="AA1718" s="130"/>
      <c r="AB1718" s="130"/>
      <c r="AC1718" s="130"/>
      <c r="AD1718" s="130"/>
      <c r="AE1718" s="130"/>
    </row>
    <row r="1719" spans="1:31" s="141" customFormat="1" ht="14.25" customHeight="1">
      <c r="A1719" s="650"/>
      <c r="B1719" s="12"/>
      <c r="C1719" s="12"/>
      <c r="D1719" s="20"/>
      <c r="E1719" s="19" t="s">
        <v>1292</v>
      </c>
      <c r="F1719" s="25"/>
      <c r="G1719" s="25"/>
      <c r="H1719" s="25"/>
      <c r="I1719" s="25"/>
      <c r="J1719" s="25"/>
      <c r="K1719" s="25"/>
      <c r="L1719" s="25"/>
      <c r="M1719" s="25"/>
      <c r="N1719" s="25"/>
      <c r="O1719" s="41"/>
      <c r="P1719" s="1129">
        <f>'5.LO'!E253</f>
        <v>0</v>
      </c>
      <c r="Q1719" s="1130"/>
      <c r="R1719" s="1130"/>
      <c r="S1719" s="1130"/>
      <c r="T1719" s="1130"/>
      <c r="U1719" s="1131"/>
      <c r="V1719" s="39"/>
      <c r="W1719" s="130"/>
      <c r="X1719" s="130"/>
      <c r="Y1719" s="130"/>
      <c r="Z1719" s="130"/>
      <c r="AA1719" s="130"/>
      <c r="AB1719" s="130"/>
      <c r="AC1719" s="130"/>
      <c r="AD1719" s="130"/>
      <c r="AE1719" s="130"/>
    </row>
    <row r="1720" spans="1:31" s="141" customFormat="1" ht="25.5" customHeight="1">
      <c r="A1720" s="82"/>
      <c r="B1720" s="12"/>
      <c r="C1720" s="12"/>
      <c r="D1720" s="1558" t="s">
        <v>1183</v>
      </c>
      <c r="E1720" s="1595"/>
      <c r="F1720" s="1595"/>
      <c r="G1720" s="1595"/>
      <c r="H1720" s="1595"/>
      <c r="I1720" s="1595"/>
      <c r="J1720" s="1595"/>
      <c r="K1720" s="1595"/>
      <c r="L1720" s="1595"/>
      <c r="M1720" s="1595"/>
      <c r="N1720" s="1595"/>
      <c r="O1720" s="1596"/>
      <c r="P1720" s="1592">
        <f>P1703+P1699+P1688</f>
        <v>31037425</v>
      </c>
      <c r="Q1720" s="1593"/>
      <c r="R1720" s="1593"/>
      <c r="S1720" s="1593"/>
      <c r="T1720" s="1593"/>
      <c r="U1720" s="1594"/>
      <c r="V1720" s="40"/>
      <c r="W1720" s="130"/>
      <c r="X1720" s="130"/>
      <c r="Y1720" s="130"/>
      <c r="Z1720" s="130"/>
      <c r="AA1720" s="130"/>
      <c r="AB1720" s="130"/>
      <c r="AC1720" s="130"/>
      <c r="AD1720" s="130"/>
      <c r="AE1720" s="130"/>
    </row>
    <row r="1721" spans="1:31" s="141" customFormat="1" ht="9" customHeight="1">
      <c r="A1721" s="650"/>
      <c r="B1721" s="12"/>
      <c r="C1721" s="12"/>
      <c r="D1721" s="12"/>
      <c r="E1721" s="12"/>
      <c r="F1721" s="12"/>
      <c r="G1721" s="12"/>
      <c r="H1721" s="12"/>
      <c r="I1721" s="12"/>
      <c r="J1721" s="34"/>
      <c r="K1721" s="34"/>
      <c r="L1721" s="34"/>
      <c r="M1721" s="34"/>
      <c r="N1721" s="34"/>
      <c r="O1721" s="34"/>
      <c r="P1721" s="34"/>
      <c r="Q1721" s="34"/>
      <c r="R1721" s="34"/>
      <c r="S1721" s="34"/>
      <c r="T1721" s="741"/>
      <c r="U1721" s="741"/>
      <c r="V1721" s="39"/>
      <c r="W1721" s="130"/>
      <c r="X1721" s="130"/>
      <c r="Y1721" s="130"/>
      <c r="Z1721" s="130"/>
      <c r="AA1721" s="130"/>
      <c r="AB1721" s="130"/>
      <c r="AC1721" s="130"/>
      <c r="AD1721" s="130"/>
      <c r="AE1721" s="130"/>
    </row>
    <row r="1722" spans="1:31" s="141" customFormat="1" ht="22.5" customHeight="1">
      <c r="A1722" s="650"/>
      <c r="B1722" s="53"/>
      <c r="C1722" s="74" t="s">
        <v>781</v>
      </c>
      <c r="D1722" s="1423" t="s">
        <v>52</v>
      </c>
      <c r="E1722" s="1423"/>
      <c r="F1722" s="1423"/>
      <c r="G1722" s="1423"/>
      <c r="H1722" s="1423"/>
      <c r="I1722" s="1423"/>
      <c r="J1722" s="1423"/>
      <c r="K1722" s="1423"/>
      <c r="L1722" s="1423"/>
      <c r="M1722" s="1423"/>
      <c r="N1722" s="1423"/>
      <c r="O1722" s="1423"/>
      <c r="P1722" s="1423"/>
      <c r="Q1722" s="1423"/>
      <c r="R1722" s="1423"/>
      <c r="S1722" s="1423"/>
      <c r="T1722" s="1423"/>
      <c r="U1722" s="1423"/>
      <c r="V1722" s="39"/>
      <c r="W1722" s="130"/>
      <c r="X1722" s="130"/>
      <c r="Y1722" s="130"/>
      <c r="Z1722" s="130"/>
      <c r="AA1722" s="130"/>
      <c r="AB1722" s="130"/>
      <c r="AC1722" s="130"/>
      <c r="AD1722" s="130"/>
      <c r="AE1722" s="130"/>
    </row>
    <row r="1723" spans="1:31" s="141" customFormat="1" ht="46.5" customHeight="1">
      <c r="A1723" s="650"/>
      <c r="C1723" s="38"/>
      <c r="D1723" s="1091" t="str">
        <f>"Jumlah Beban  Jasa Tahun "&amp;'2.ISIAN DATA SKPD'!D11&amp;" dan tahun "&amp;'2.ISIAN DATA SKPD'!D12&amp;" masing-masing  sebesar Rp. 0 dan 0 mengalami kenaikan/penurunan sebesar Rp. 0 atau sebesar 0 % dari tahun "&amp;'2.ISIAN DATA SKPD'!D12&amp;"."</f>
        <v>Jumlah Beban  Jasa Tahun 2017 dan tahun 2016 masing-masing  sebesar Rp. 0 dan 0 mengalami kenaikan/penurunan sebesar Rp. 0 atau sebesar 0 % dari tahun 2016.</v>
      </c>
      <c r="E1723" s="1091"/>
      <c r="F1723" s="1091"/>
      <c r="G1723" s="1091"/>
      <c r="H1723" s="1091"/>
      <c r="I1723" s="1091"/>
      <c r="J1723" s="1091"/>
      <c r="K1723" s="1091"/>
      <c r="L1723" s="1091"/>
      <c r="M1723" s="1091"/>
      <c r="N1723" s="1091"/>
      <c r="O1723" s="1091"/>
      <c r="P1723" s="1091"/>
      <c r="Q1723" s="1091"/>
      <c r="R1723" s="1091"/>
      <c r="S1723" s="1091"/>
      <c r="T1723" s="1091"/>
      <c r="U1723" s="1091"/>
      <c r="V1723" s="39"/>
      <c r="W1723" s="130"/>
      <c r="X1723" s="130"/>
      <c r="Y1723" s="130"/>
      <c r="Z1723" s="130"/>
      <c r="AA1723" s="130"/>
      <c r="AB1723" s="130"/>
      <c r="AC1723" s="130"/>
      <c r="AD1723" s="130"/>
      <c r="AE1723" s="130"/>
    </row>
    <row r="1724" spans="1:31" s="141" customFormat="1" ht="76.5" customHeight="1">
      <c r="A1724" s="650"/>
      <c r="C1724" s="38"/>
      <c r="D1724" s="1091" t="s">
        <v>1184</v>
      </c>
      <c r="E1724" s="1091"/>
      <c r="F1724" s="1091"/>
      <c r="G1724" s="1091"/>
      <c r="H1724" s="1091"/>
      <c r="I1724" s="1091"/>
      <c r="J1724" s="1091"/>
      <c r="K1724" s="1091"/>
      <c r="L1724" s="1091"/>
      <c r="M1724" s="1091"/>
      <c r="N1724" s="1091"/>
      <c r="O1724" s="1091"/>
      <c r="P1724" s="1091"/>
      <c r="Q1724" s="1091"/>
      <c r="R1724" s="1091"/>
      <c r="S1724" s="1091"/>
      <c r="T1724" s="1091"/>
      <c r="U1724" s="1091"/>
      <c r="V1724" s="39"/>
      <c r="W1724" s="130"/>
      <c r="X1724" s="130"/>
      <c r="Y1724" s="130"/>
      <c r="Z1724" s="130"/>
      <c r="AA1724" s="130"/>
      <c r="AB1724" s="130"/>
      <c r="AC1724" s="130"/>
      <c r="AD1724" s="130"/>
      <c r="AE1724" s="130"/>
    </row>
    <row r="1725" spans="1:31" s="141" customFormat="1" ht="33" customHeight="1">
      <c r="A1725" s="650"/>
      <c r="B1725" s="52"/>
      <c r="C1725" s="52"/>
      <c r="D1725" s="1091" t="str">
        <f>"Rincian Beban Barang dan Jasa untuk Tahun "&amp;'2.ISIAN DATA SKPD'!D11&amp;"  adalah sebagai berikut:"</f>
        <v>Rincian Beban Barang dan Jasa untuk Tahun 2017  adalah sebagai berikut:</v>
      </c>
      <c r="E1725" s="1091"/>
      <c r="F1725" s="1091"/>
      <c r="G1725" s="1091"/>
      <c r="H1725" s="1091"/>
      <c r="I1725" s="1091"/>
      <c r="J1725" s="1091"/>
      <c r="K1725" s="1091"/>
      <c r="L1725" s="1091"/>
      <c r="M1725" s="1091"/>
      <c r="N1725" s="1091"/>
      <c r="O1725" s="1091"/>
      <c r="P1725" s="1091"/>
      <c r="Q1725" s="1091"/>
      <c r="R1725" s="1091"/>
      <c r="S1725" s="1091"/>
      <c r="T1725" s="1091"/>
      <c r="U1725" s="1091"/>
      <c r="V1725" s="39"/>
      <c r="W1725" s="130"/>
      <c r="X1725" s="130"/>
      <c r="Y1725" s="130"/>
      <c r="Z1725" s="130"/>
      <c r="AA1725" s="130"/>
      <c r="AB1725" s="130"/>
      <c r="AC1725" s="130"/>
      <c r="AD1725" s="130"/>
      <c r="AE1725" s="130"/>
    </row>
    <row r="1726" spans="1:31" s="141" customFormat="1" ht="7.5" customHeight="1">
      <c r="A1726" s="650"/>
      <c r="B1726" s="52"/>
      <c r="C1726" s="52"/>
      <c r="D1726" s="702"/>
      <c r="E1726" s="702"/>
      <c r="F1726" s="702"/>
      <c r="G1726" s="702"/>
      <c r="H1726" s="702"/>
      <c r="I1726" s="702"/>
      <c r="J1726" s="702"/>
      <c r="K1726" s="702"/>
      <c r="L1726" s="702"/>
      <c r="M1726" s="702"/>
      <c r="N1726" s="702"/>
      <c r="O1726" s="702"/>
      <c r="P1726" s="702"/>
      <c r="Q1726" s="702"/>
      <c r="R1726" s="702"/>
      <c r="S1726" s="702"/>
      <c r="T1726" s="702"/>
      <c r="U1726" s="702"/>
      <c r="V1726" s="39"/>
      <c r="W1726" s="130"/>
      <c r="X1726" s="130"/>
      <c r="Y1726" s="130"/>
      <c r="Z1726" s="130"/>
      <c r="AA1726" s="130"/>
      <c r="AB1726" s="130"/>
      <c r="AC1726" s="130"/>
      <c r="AD1726" s="130"/>
      <c r="AE1726" s="130"/>
    </row>
    <row r="1727" spans="1:31" s="141" customFormat="1" ht="22.5" customHeight="1">
      <c r="A1727" s="650"/>
      <c r="B1727" s="52"/>
      <c r="C1727" s="52"/>
      <c r="D1727" s="1088" t="str">
        <f>"Rincian Beban Jasa Tahun "&amp;'2.ISIAN DATA SKPD'!D11&amp;""</f>
        <v>Rincian Beban Jasa Tahun 2017</v>
      </c>
      <c r="E1727" s="1088"/>
      <c r="F1727" s="1088"/>
      <c r="G1727" s="1088"/>
      <c r="H1727" s="1088"/>
      <c r="I1727" s="1088"/>
      <c r="J1727" s="1088"/>
      <c r="K1727" s="1088"/>
      <c r="L1727" s="1088"/>
      <c r="M1727" s="1088"/>
      <c r="N1727" s="1088"/>
      <c r="O1727" s="1088"/>
      <c r="P1727" s="1088"/>
      <c r="Q1727" s="1088"/>
      <c r="R1727" s="1088"/>
      <c r="S1727" s="1088"/>
      <c r="T1727" s="1088"/>
      <c r="U1727" s="1088"/>
      <c r="V1727" s="39"/>
      <c r="W1727" s="130"/>
      <c r="X1727" s="130"/>
      <c r="Y1727" s="130"/>
      <c r="Z1727" s="130"/>
      <c r="AA1727" s="130"/>
      <c r="AB1727" s="130"/>
      <c r="AC1727" s="130"/>
      <c r="AD1727" s="130"/>
      <c r="AE1727" s="130"/>
    </row>
    <row r="1728" spans="1:31" s="141" customFormat="1" ht="22.5" customHeight="1">
      <c r="A1728" s="650"/>
      <c r="B1728" s="52"/>
      <c r="C1728" s="52"/>
      <c r="D1728" s="1126" t="s">
        <v>1185</v>
      </c>
      <c r="E1728" s="1127"/>
      <c r="F1728" s="1127"/>
      <c r="G1728" s="1127"/>
      <c r="H1728" s="1127"/>
      <c r="I1728" s="1127"/>
      <c r="J1728" s="1127"/>
      <c r="K1728" s="1127"/>
      <c r="L1728" s="1127"/>
      <c r="M1728" s="1127"/>
      <c r="N1728" s="1127"/>
      <c r="O1728" s="1128"/>
      <c r="P1728" s="1324" t="s">
        <v>10</v>
      </c>
      <c r="Q1728" s="1324"/>
      <c r="R1728" s="1324"/>
      <c r="S1728" s="1324"/>
      <c r="T1728" s="1324"/>
      <c r="U1728" s="1324"/>
      <c r="V1728" s="39"/>
      <c r="W1728" s="130"/>
      <c r="X1728" s="130"/>
      <c r="Y1728" s="130"/>
      <c r="Z1728" s="130"/>
      <c r="AA1728" s="130"/>
      <c r="AB1728" s="130"/>
      <c r="AC1728" s="130"/>
      <c r="AD1728" s="130"/>
      <c r="AE1728" s="130"/>
    </row>
    <row r="1729" spans="1:31" s="141" customFormat="1" ht="14.25" customHeight="1">
      <c r="A1729" s="650"/>
      <c r="B1729" s="52"/>
      <c r="C1729" s="52"/>
      <c r="D1729" s="50" t="s">
        <v>1293</v>
      </c>
      <c r="E1729" s="41"/>
      <c r="F1729" s="49"/>
      <c r="G1729" s="49"/>
      <c r="H1729" s="49"/>
      <c r="I1729" s="49"/>
      <c r="J1729" s="49"/>
      <c r="K1729" s="49"/>
      <c r="L1729" s="49"/>
      <c r="M1729" s="49"/>
      <c r="N1729" s="49"/>
      <c r="O1729" s="59"/>
      <c r="P1729" s="1429">
        <f>SUM(P1730:U1767)</f>
        <v>255431634</v>
      </c>
      <c r="Q1729" s="1430"/>
      <c r="R1729" s="1430"/>
      <c r="S1729" s="1430"/>
      <c r="T1729" s="1430"/>
      <c r="U1729" s="1431"/>
      <c r="V1729" s="39"/>
      <c r="W1729" s="130"/>
      <c r="X1729" s="130"/>
      <c r="Y1729" s="130"/>
      <c r="Z1729" s="130"/>
      <c r="AA1729" s="130"/>
      <c r="AB1729" s="130"/>
      <c r="AC1729" s="130"/>
      <c r="AD1729" s="130"/>
      <c r="AE1729" s="130"/>
    </row>
    <row r="1730" spans="1:31" s="141" customFormat="1" ht="14.25" customHeight="1">
      <c r="A1730" s="650"/>
      <c r="B1730" s="52"/>
      <c r="C1730" s="52"/>
      <c r="D1730" s="28"/>
      <c r="E1730" s="42" t="s">
        <v>1294</v>
      </c>
      <c r="F1730" s="49"/>
      <c r="G1730" s="49"/>
      <c r="H1730" s="49"/>
      <c r="I1730" s="49"/>
      <c r="J1730" s="49"/>
      <c r="K1730" s="49"/>
      <c r="L1730" s="49"/>
      <c r="M1730" s="49"/>
      <c r="N1730" s="49"/>
      <c r="O1730" s="59"/>
      <c r="P1730" s="1417">
        <f>'5.LO'!E256</f>
        <v>255431634</v>
      </c>
      <c r="Q1730" s="1418"/>
      <c r="R1730" s="1418"/>
      <c r="S1730" s="1418"/>
      <c r="T1730" s="1418"/>
      <c r="U1730" s="1419"/>
      <c r="V1730" s="39"/>
      <c r="W1730" s="130"/>
      <c r="X1730" s="130"/>
      <c r="Y1730" s="130"/>
      <c r="Z1730" s="130"/>
      <c r="AA1730" s="130"/>
      <c r="AB1730" s="130"/>
      <c r="AC1730" s="130"/>
      <c r="AD1730" s="130"/>
      <c r="AE1730" s="130"/>
    </row>
    <row r="1731" spans="1:31" s="141" customFormat="1" ht="14.25" customHeight="1">
      <c r="A1731" s="650"/>
      <c r="B1731" s="52"/>
      <c r="C1731" s="52"/>
      <c r="D1731" s="28"/>
      <c r="E1731" s="42" t="s">
        <v>1295</v>
      </c>
      <c r="F1731" s="49"/>
      <c r="G1731" s="49"/>
      <c r="H1731" s="49"/>
      <c r="I1731" s="49"/>
      <c r="J1731" s="49"/>
      <c r="K1731" s="49"/>
      <c r="L1731" s="49"/>
      <c r="M1731" s="49"/>
      <c r="N1731" s="49"/>
      <c r="O1731" s="59"/>
      <c r="P1731" s="1417">
        <f>'5.LO'!E257</f>
        <v>0</v>
      </c>
      <c r="Q1731" s="1418"/>
      <c r="R1731" s="1418"/>
      <c r="S1731" s="1418"/>
      <c r="T1731" s="1418"/>
      <c r="U1731" s="1419"/>
      <c r="V1731" s="39"/>
      <c r="W1731" s="130"/>
      <c r="X1731" s="130"/>
      <c r="Y1731" s="130"/>
      <c r="Z1731" s="130"/>
      <c r="AA1731" s="130"/>
      <c r="AB1731" s="130"/>
      <c r="AC1731" s="130"/>
      <c r="AD1731" s="130"/>
      <c r="AE1731" s="130"/>
    </row>
    <row r="1732" spans="1:31" s="141" customFormat="1" ht="14.25" customHeight="1">
      <c r="A1732" s="650"/>
      <c r="B1732" s="52"/>
      <c r="C1732" s="52"/>
      <c r="D1732" s="28"/>
      <c r="E1732" s="42" t="s">
        <v>1296</v>
      </c>
      <c r="F1732" s="49"/>
      <c r="G1732" s="49"/>
      <c r="H1732" s="49"/>
      <c r="I1732" s="49"/>
      <c r="J1732" s="49"/>
      <c r="K1732" s="49"/>
      <c r="L1732" s="49"/>
      <c r="M1732" s="49"/>
      <c r="N1732" s="49"/>
      <c r="O1732" s="59"/>
      <c r="P1732" s="1417">
        <f>'5.LO'!E258</f>
        <v>0</v>
      </c>
      <c r="Q1732" s="1418"/>
      <c r="R1732" s="1418"/>
      <c r="S1732" s="1418"/>
      <c r="T1732" s="1418"/>
      <c r="U1732" s="1419"/>
      <c r="V1732" s="39"/>
      <c r="W1732" s="130"/>
      <c r="X1732" s="130"/>
      <c r="Y1732" s="130"/>
      <c r="Z1732" s="130"/>
      <c r="AA1732" s="130"/>
      <c r="AB1732" s="130"/>
      <c r="AC1732" s="130"/>
      <c r="AD1732" s="130"/>
      <c r="AE1732" s="130"/>
    </row>
    <row r="1733" spans="1:31" s="141" customFormat="1" ht="14.25" customHeight="1">
      <c r="A1733" s="650"/>
      <c r="B1733" s="52"/>
      <c r="C1733" s="52"/>
      <c r="D1733" s="28"/>
      <c r="E1733" s="42" t="s">
        <v>1297</v>
      </c>
      <c r="F1733" s="49"/>
      <c r="G1733" s="49"/>
      <c r="H1733" s="49"/>
      <c r="I1733" s="49"/>
      <c r="J1733" s="49"/>
      <c r="K1733" s="49"/>
      <c r="L1733" s="49"/>
      <c r="M1733" s="49"/>
      <c r="N1733" s="49"/>
      <c r="O1733" s="59"/>
      <c r="P1733" s="1417">
        <f>'5.LO'!E259</f>
        <v>0</v>
      </c>
      <c r="Q1733" s="1418"/>
      <c r="R1733" s="1418"/>
      <c r="S1733" s="1418"/>
      <c r="T1733" s="1418"/>
      <c r="U1733" s="1419"/>
      <c r="V1733" s="39"/>
      <c r="W1733" s="130"/>
      <c r="X1733" s="130"/>
      <c r="Y1733" s="130"/>
      <c r="Z1733" s="130"/>
      <c r="AA1733" s="130"/>
      <c r="AB1733" s="130"/>
      <c r="AC1733" s="130"/>
      <c r="AD1733" s="130"/>
      <c r="AE1733" s="130"/>
    </row>
    <row r="1734" spans="1:31" s="141" customFormat="1" ht="14.25" customHeight="1">
      <c r="A1734" s="650"/>
      <c r="B1734" s="52"/>
      <c r="C1734" s="52"/>
      <c r="D1734" s="28"/>
      <c r="E1734" s="42" t="s">
        <v>1298</v>
      </c>
      <c r="F1734" s="49"/>
      <c r="G1734" s="49"/>
      <c r="H1734" s="49"/>
      <c r="I1734" s="49"/>
      <c r="J1734" s="49"/>
      <c r="K1734" s="49"/>
      <c r="L1734" s="49"/>
      <c r="M1734" s="49"/>
      <c r="N1734" s="49"/>
      <c r="O1734" s="59"/>
      <c r="P1734" s="1417">
        <f>'5.LO'!E260</f>
        <v>0</v>
      </c>
      <c r="Q1734" s="1418"/>
      <c r="R1734" s="1418"/>
      <c r="S1734" s="1418"/>
      <c r="T1734" s="1418"/>
      <c r="U1734" s="1419"/>
      <c r="V1734" s="39"/>
      <c r="W1734" s="130"/>
      <c r="X1734" s="130"/>
      <c r="Y1734" s="130"/>
      <c r="Z1734" s="130"/>
      <c r="AA1734" s="130"/>
      <c r="AB1734" s="130"/>
      <c r="AC1734" s="130"/>
      <c r="AD1734" s="130"/>
      <c r="AE1734" s="130"/>
    </row>
    <row r="1735" spans="1:31" s="141" customFormat="1" ht="14.25" customHeight="1">
      <c r="A1735" s="650"/>
      <c r="B1735" s="52"/>
      <c r="C1735" s="52"/>
      <c r="D1735" s="28"/>
      <c r="E1735" s="42" t="s">
        <v>1299</v>
      </c>
      <c r="F1735" s="49"/>
      <c r="G1735" s="49"/>
      <c r="H1735" s="49"/>
      <c r="I1735" s="49"/>
      <c r="J1735" s="49"/>
      <c r="K1735" s="49"/>
      <c r="L1735" s="49"/>
      <c r="M1735" s="49"/>
      <c r="N1735" s="49"/>
      <c r="O1735" s="59"/>
      <c r="P1735" s="1417">
        <f>'5.LO'!E261</f>
        <v>0</v>
      </c>
      <c r="Q1735" s="1418"/>
      <c r="R1735" s="1418"/>
      <c r="S1735" s="1418"/>
      <c r="T1735" s="1418"/>
      <c r="U1735" s="1419"/>
      <c r="V1735" s="39"/>
      <c r="W1735" s="130"/>
      <c r="X1735" s="130"/>
      <c r="Y1735" s="130"/>
      <c r="Z1735" s="130"/>
      <c r="AA1735" s="130"/>
      <c r="AB1735" s="130"/>
      <c r="AC1735" s="130"/>
      <c r="AD1735" s="130"/>
      <c r="AE1735" s="130"/>
    </row>
    <row r="1736" spans="1:31" s="141" customFormat="1" ht="14.25" customHeight="1">
      <c r="A1736" s="650"/>
      <c r="B1736" s="52"/>
      <c r="C1736" s="52"/>
      <c r="D1736" s="28"/>
      <c r="E1736" s="42" t="s">
        <v>1300</v>
      </c>
      <c r="F1736" s="49"/>
      <c r="G1736" s="49"/>
      <c r="H1736" s="49"/>
      <c r="I1736" s="49"/>
      <c r="J1736" s="49"/>
      <c r="K1736" s="49"/>
      <c r="L1736" s="49"/>
      <c r="M1736" s="49"/>
      <c r="N1736" s="49"/>
      <c r="O1736" s="59"/>
      <c r="P1736" s="1417">
        <f>'5.LO'!E262</f>
        <v>0</v>
      </c>
      <c r="Q1736" s="1418"/>
      <c r="R1736" s="1418"/>
      <c r="S1736" s="1418"/>
      <c r="T1736" s="1418"/>
      <c r="U1736" s="1419"/>
      <c r="V1736" s="39"/>
      <c r="W1736" s="130"/>
      <c r="X1736" s="130"/>
      <c r="Y1736" s="130"/>
      <c r="Z1736" s="130"/>
      <c r="AA1736" s="130"/>
      <c r="AB1736" s="130"/>
      <c r="AC1736" s="130"/>
      <c r="AD1736" s="130"/>
      <c r="AE1736" s="130"/>
    </row>
    <row r="1737" spans="1:31" s="141" customFormat="1" ht="14.25" customHeight="1">
      <c r="A1737" s="650"/>
      <c r="B1737" s="52"/>
      <c r="C1737" s="52"/>
      <c r="D1737" s="28"/>
      <c r="E1737" s="42" t="s">
        <v>1301</v>
      </c>
      <c r="F1737" s="49"/>
      <c r="G1737" s="49"/>
      <c r="H1737" s="49"/>
      <c r="I1737" s="49"/>
      <c r="J1737" s="49"/>
      <c r="K1737" s="49"/>
      <c r="L1737" s="49"/>
      <c r="M1737" s="49"/>
      <c r="N1737" s="49"/>
      <c r="O1737" s="59"/>
      <c r="P1737" s="1417">
        <f>'5.LO'!E263</f>
        <v>0</v>
      </c>
      <c r="Q1737" s="1418"/>
      <c r="R1737" s="1418"/>
      <c r="S1737" s="1418"/>
      <c r="T1737" s="1418"/>
      <c r="U1737" s="1419"/>
      <c r="V1737" s="39"/>
      <c r="W1737" s="130"/>
      <c r="X1737" s="130"/>
      <c r="Y1737" s="130"/>
      <c r="Z1737" s="130"/>
      <c r="AA1737" s="130"/>
      <c r="AB1737" s="130"/>
      <c r="AC1737" s="130"/>
      <c r="AD1737" s="130"/>
      <c r="AE1737" s="130"/>
    </row>
    <row r="1738" spans="1:31" s="141" customFormat="1" ht="14.25" customHeight="1">
      <c r="A1738" s="650"/>
      <c r="B1738" s="52"/>
      <c r="C1738" s="52"/>
      <c r="D1738" s="28"/>
      <c r="E1738" s="42" t="s">
        <v>1302</v>
      </c>
      <c r="F1738" s="49"/>
      <c r="G1738" s="49"/>
      <c r="H1738" s="49"/>
      <c r="I1738" s="49"/>
      <c r="J1738" s="49"/>
      <c r="K1738" s="49"/>
      <c r="L1738" s="49"/>
      <c r="M1738" s="49"/>
      <c r="N1738" s="49"/>
      <c r="O1738" s="59"/>
      <c r="P1738" s="1417">
        <f>'5.LO'!E264</f>
        <v>0</v>
      </c>
      <c r="Q1738" s="1418"/>
      <c r="R1738" s="1418"/>
      <c r="S1738" s="1418"/>
      <c r="T1738" s="1418"/>
      <c r="U1738" s="1419"/>
      <c r="V1738" s="39"/>
      <c r="W1738" s="130"/>
      <c r="X1738" s="130"/>
      <c r="Y1738" s="130"/>
      <c r="Z1738" s="130"/>
      <c r="AA1738" s="130"/>
      <c r="AB1738" s="130"/>
      <c r="AC1738" s="130"/>
      <c r="AD1738" s="130"/>
      <c r="AE1738" s="130"/>
    </row>
    <row r="1739" spans="1:31" s="141" customFormat="1" ht="14.25" customHeight="1">
      <c r="A1739" s="650"/>
      <c r="B1739" s="52"/>
      <c r="C1739" s="52"/>
      <c r="D1739" s="28"/>
      <c r="E1739" s="42" t="s">
        <v>1303</v>
      </c>
      <c r="F1739" s="49"/>
      <c r="G1739" s="49"/>
      <c r="H1739" s="49"/>
      <c r="I1739" s="49"/>
      <c r="J1739" s="49"/>
      <c r="K1739" s="49"/>
      <c r="L1739" s="49"/>
      <c r="M1739" s="49"/>
      <c r="N1739" s="49"/>
      <c r="O1739" s="59"/>
      <c r="P1739" s="1417">
        <f>'5.LO'!E265</f>
        <v>0</v>
      </c>
      <c r="Q1739" s="1418"/>
      <c r="R1739" s="1418"/>
      <c r="S1739" s="1418"/>
      <c r="T1739" s="1418"/>
      <c r="U1739" s="1419"/>
      <c r="V1739" s="39"/>
      <c r="W1739" s="130"/>
      <c r="X1739" s="130"/>
      <c r="Y1739" s="130"/>
      <c r="Z1739" s="130"/>
      <c r="AA1739" s="130"/>
      <c r="AB1739" s="130"/>
      <c r="AC1739" s="130"/>
      <c r="AD1739" s="130"/>
      <c r="AE1739" s="130"/>
    </row>
    <row r="1740" spans="1:31" s="141" customFormat="1" ht="14.25" customHeight="1">
      <c r="A1740" s="650"/>
      <c r="B1740" s="52"/>
      <c r="C1740" s="52"/>
      <c r="D1740" s="28"/>
      <c r="E1740" s="42" t="s">
        <v>1304</v>
      </c>
      <c r="F1740" s="49"/>
      <c r="G1740" s="49"/>
      <c r="H1740" s="49"/>
      <c r="I1740" s="49"/>
      <c r="J1740" s="49"/>
      <c r="K1740" s="49"/>
      <c r="L1740" s="49"/>
      <c r="M1740" s="49"/>
      <c r="N1740" s="49"/>
      <c r="O1740" s="59"/>
      <c r="P1740" s="1417">
        <f>'5.LO'!E266</f>
        <v>0</v>
      </c>
      <c r="Q1740" s="1418"/>
      <c r="R1740" s="1418"/>
      <c r="S1740" s="1418"/>
      <c r="T1740" s="1418"/>
      <c r="U1740" s="1419"/>
      <c r="V1740" s="39"/>
      <c r="W1740" s="130"/>
      <c r="X1740" s="130"/>
      <c r="Y1740" s="130"/>
      <c r="Z1740" s="130"/>
      <c r="AA1740" s="130"/>
      <c r="AB1740" s="130"/>
      <c r="AC1740" s="130"/>
      <c r="AD1740" s="130"/>
      <c r="AE1740" s="130"/>
    </row>
    <row r="1741" spans="1:31" s="141" customFormat="1" ht="14.25" customHeight="1">
      <c r="A1741" s="650"/>
      <c r="B1741" s="52"/>
      <c r="C1741" s="52"/>
      <c r="D1741" s="28"/>
      <c r="E1741" s="42" t="s">
        <v>1305</v>
      </c>
      <c r="F1741" s="49"/>
      <c r="G1741" s="49"/>
      <c r="H1741" s="49"/>
      <c r="I1741" s="49"/>
      <c r="J1741" s="49"/>
      <c r="K1741" s="49"/>
      <c r="L1741" s="49"/>
      <c r="M1741" s="49"/>
      <c r="N1741" s="49"/>
      <c r="O1741" s="59"/>
      <c r="P1741" s="1417">
        <f>'5.LO'!E267</f>
        <v>0</v>
      </c>
      <c r="Q1741" s="1418"/>
      <c r="R1741" s="1418"/>
      <c r="S1741" s="1418"/>
      <c r="T1741" s="1418"/>
      <c r="U1741" s="1419"/>
      <c r="V1741" s="39"/>
      <c r="W1741" s="130"/>
      <c r="X1741" s="130"/>
      <c r="Y1741" s="130"/>
      <c r="Z1741" s="130"/>
      <c r="AA1741" s="130"/>
      <c r="AB1741" s="130"/>
      <c r="AC1741" s="130"/>
      <c r="AD1741" s="130"/>
      <c r="AE1741" s="130"/>
    </row>
    <row r="1742" spans="1:31" s="141" customFormat="1" ht="14.25" customHeight="1">
      <c r="A1742" s="650"/>
      <c r="B1742" s="52"/>
      <c r="C1742" s="52"/>
      <c r="D1742" s="28"/>
      <c r="E1742" s="42" t="s">
        <v>1306</v>
      </c>
      <c r="F1742" s="49"/>
      <c r="G1742" s="49"/>
      <c r="H1742" s="49"/>
      <c r="I1742" s="49"/>
      <c r="J1742" s="49"/>
      <c r="K1742" s="49"/>
      <c r="L1742" s="49"/>
      <c r="M1742" s="49"/>
      <c r="N1742" s="49"/>
      <c r="O1742" s="59"/>
      <c r="P1742" s="1417">
        <f>'5.LO'!E268</f>
        <v>0</v>
      </c>
      <c r="Q1742" s="1418"/>
      <c r="R1742" s="1418"/>
      <c r="S1742" s="1418"/>
      <c r="T1742" s="1418"/>
      <c r="U1742" s="1419"/>
      <c r="V1742" s="39"/>
      <c r="W1742" s="130"/>
      <c r="X1742" s="130"/>
      <c r="Y1742" s="130"/>
      <c r="Z1742" s="130"/>
      <c r="AA1742" s="130"/>
      <c r="AB1742" s="130"/>
      <c r="AC1742" s="130"/>
      <c r="AD1742" s="130"/>
      <c r="AE1742" s="130"/>
    </row>
    <row r="1743" spans="1:31" s="141" customFormat="1" ht="14.25" customHeight="1">
      <c r="A1743" s="650"/>
      <c r="B1743" s="52"/>
      <c r="C1743" s="52"/>
      <c r="D1743" s="28"/>
      <c r="E1743" s="42" t="s">
        <v>1307</v>
      </c>
      <c r="F1743" s="49"/>
      <c r="G1743" s="49"/>
      <c r="H1743" s="49"/>
      <c r="I1743" s="49"/>
      <c r="J1743" s="49"/>
      <c r="K1743" s="49"/>
      <c r="L1743" s="49"/>
      <c r="M1743" s="49"/>
      <c r="N1743" s="49"/>
      <c r="O1743" s="59"/>
      <c r="P1743" s="1417">
        <f>'5.LO'!E269</f>
        <v>0</v>
      </c>
      <c r="Q1743" s="1418"/>
      <c r="R1743" s="1418"/>
      <c r="S1743" s="1418"/>
      <c r="T1743" s="1418"/>
      <c r="U1743" s="1419"/>
      <c r="V1743" s="39"/>
      <c r="W1743" s="130"/>
      <c r="X1743" s="130"/>
      <c r="Y1743" s="130"/>
      <c r="Z1743" s="130"/>
      <c r="AA1743" s="130"/>
      <c r="AB1743" s="130"/>
      <c r="AC1743" s="130"/>
      <c r="AD1743" s="130"/>
      <c r="AE1743" s="130"/>
    </row>
    <row r="1744" spans="1:31" s="141" customFormat="1" ht="14.25" customHeight="1">
      <c r="A1744" s="650"/>
      <c r="B1744" s="52"/>
      <c r="C1744" s="52"/>
      <c r="D1744" s="28"/>
      <c r="E1744" s="42" t="s">
        <v>1308</v>
      </c>
      <c r="F1744" s="49"/>
      <c r="G1744" s="49"/>
      <c r="H1744" s="49"/>
      <c r="I1744" s="49"/>
      <c r="J1744" s="49"/>
      <c r="K1744" s="49"/>
      <c r="L1744" s="49"/>
      <c r="M1744" s="49"/>
      <c r="N1744" s="49"/>
      <c r="O1744" s="59"/>
      <c r="P1744" s="1417">
        <f>'5.LO'!E270</f>
        <v>0</v>
      </c>
      <c r="Q1744" s="1418"/>
      <c r="R1744" s="1418"/>
      <c r="S1744" s="1418"/>
      <c r="T1744" s="1418"/>
      <c r="U1744" s="1419"/>
      <c r="V1744" s="39"/>
      <c r="W1744" s="130"/>
      <c r="X1744" s="130"/>
      <c r="Y1744" s="130"/>
      <c r="Z1744" s="130"/>
      <c r="AA1744" s="130"/>
      <c r="AB1744" s="130"/>
      <c r="AC1744" s="130"/>
      <c r="AD1744" s="130"/>
      <c r="AE1744" s="130"/>
    </row>
    <row r="1745" spans="1:31" s="141" customFormat="1" ht="14.25" customHeight="1">
      <c r="A1745" s="650"/>
      <c r="B1745" s="52"/>
      <c r="C1745" s="52"/>
      <c r="D1745" s="28"/>
      <c r="E1745" s="42" t="s">
        <v>1309</v>
      </c>
      <c r="F1745" s="49"/>
      <c r="G1745" s="49"/>
      <c r="H1745" s="49"/>
      <c r="I1745" s="49"/>
      <c r="J1745" s="49"/>
      <c r="K1745" s="49"/>
      <c r="L1745" s="49"/>
      <c r="M1745" s="49"/>
      <c r="N1745" s="49"/>
      <c r="O1745" s="59"/>
      <c r="P1745" s="1417">
        <f>'5.LO'!E271</f>
        <v>0</v>
      </c>
      <c r="Q1745" s="1418"/>
      <c r="R1745" s="1418"/>
      <c r="S1745" s="1418"/>
      <c r="T1745" s="1418"/>
      <c r="U1745" s="1419"/>
      <c r="V1745" s="39"/>
      <c r="W1745" s="130"/>
      <c r="X1745" s="130"/>
      <c r="Y1745" s="130"/>
      <c r="Z1745" s="130"/>
      <c r="AA1745" s="130"/>
      <c r="AB1745" s="130"/>
      <c r="AC1745" s="130"/>
      <c r="AD1745" s="130"/>
      <c r="AE1745" s="130"/>
    </row>
    <row r="1746" spans="1:31" s="141" customFormat="1" ht="14.25" customHeight="1">
      <c r="A1746" s="650"/>
      <c r="B1746" s="52"/>
      <c r="C1746" s="52"/>
      <c r="D1746" s="28"/>
      <c r="E1746" s="42" t="s">
        <v>1310</v>
      </c>
      <c r="F1746" s="49"/>
      <c r="G1746" s="49"/>
      <c r="H1746" s="49"/>
      <c r="I1746" s="49"/>
      <c r="J1746" s="49"/>
      <c r="K1746" s="49"/>
      <c r="L1746" s="49"/>
      <c r="M1746" s="49"/>
      <c r="N1746" s="49"/>
      <c r="O1746" s="59"/>
      <c r="P1746" s="1417">
        <f>'5.LO'!E272</f>
        <v>0</v>
      </c>
      <c r="Q1746" s="1418"/>
      <c r="R1746" s="1418"/>
      <c r="S1746" s="1418"/>
      <c r="T1746" s="1418"/>
      <c r="U1746" s="1419"/>
      <c r="V1746" s="39"/>
      <c r="W1746" s="130"/>
      <c r="X1746" s="130"/>
      <c r="Y1746" s="130"/>
      <c r="Z1746" s="130"/>
      <c r="AA1746" s="130"/>
      <c r="AB1746" s="130"/>
      <c r="AC1746" s="130"/>
      <c r="AD1746" s="130"/>
      <c r="AE1746" s="130"/>
    </row>
    <row r="1747" spans="1:31" s="141" customFormat="1" ht="14.25" customHeight="1">
      <c r="A1747" s="650"/>
      <c r="B1747" s="52"/>
      <c r="C1747" s="52"/>
      <c r="D1747" s="28"/>
      <c r="E1747" s="42" t="s">
        <v>1311</v>
      </c>
      <c r="F1747" s="49"/>
      <c r="G1747" s="49"/>
      <c r="H1747" s="49"/>
      <c r="I1747" s="49"/>
      <c r="J1747" s="49"/>
      <c r="K1747" s="49"/>
      <c r="L1747" s="49"/>
      <c r="M1747" s="49"/>
      <c r="N1747" s="49"/>
      <c r="O1747" s="59"/>
      <c r="P1747" s="1417">
        <f>'5.LO'!E273</f>
        <v>0</v>
      </c>
      <c r="Q1747" s="1418"/>
      <c r="R1747" s="1418"/>
      <c r="S1747" s="1418"/>
      <c r="T1747" s="1418"/>
      <c r="U1747" s="1419"/>
      <c r="V1747" s="39"/>
      <c r="W1747" s="130"/>
      <c r="X1747" s="130"/>
      <c r="Y1747" s="130"/>
      <c r="Z1747" s="130"/>
      <c r="AA1747" s="130"/>
      <c r="AB1747" s="130"/>
      <c r="AC1747" s="130"/>
      <c r="AD1747" s="130"/>
      <c r="AE1747" s="130"/>
    </row>
    <row r="1748" spans="1:31" s="141" customFormat="1" ht="14.25" customHeight="1">
      <c r="A1748" s="650"/>
      <c r="B1748" s="52"/>
      <c r="C1748" s="52"/>
      <c r="D1748" s="28"/>
      <c r="E1748" s="42" t="s">
        <v>1312</v>
      </c>
      <c r="F1748" s="49"/>
      <c r="G1748" s="49"/>
      <c r="H1748" s="49"/>
      <c r="I1748" s="49"/>
      <c r="J1748" s="49"/>
      <c r="K1748" s="49"/>
      <c r="L1748" s="49"/>
      <c r="M1748" s="49"/>
      <c r="N1748" s="49"/>
      <c r="O1748" s="59"/>
      <c r="P1748" s="1417">
        <f>'5.LO'!E274</f>
        <v>0</v>
      </c>
      <c r="Q1748" s="1418"/>
      <c r="R1748" s="1418"/>
      <c r="S1748" s="1418"/>
      <c r="T1748" s="1418"/>
      <c r="U1748" s="1419"/>
      <c r="V1748" s="39"/>
      <c r="W1748" s="130"/>
      <c r="X1748" s="130"/>
      <c r="Y1748" s="130"/>
      <c r="Z1748" s="130"/>
      <c r="AA1748" s="130"/>
      <c r="AB1748" s="130"/>
      <c r="AC1748" s="130"/>
      <c r="AD1748" s="130"/>
      <c r="AE1748" s="130"/>
    </row>
    <row r="1749" spans="1:31" s="141" customFormat="1" ht="14.25" customHeight="1">
      <c r="A1749" s="650"/>
      <c r="B1749" s="52"/>
      <c r="C1749" s="52"/>
      <c r="D1749" s="28"/>
      <c r="E1749" s="42" t="s">
        <v>1313</v>
      </c>
      <c r="F1749" s="49"/>
      <c r="G1749" s="49"/>
      <c r="H1749" s="49"/>
      <c r="I1749" s="49"/>
      <c r="J1749" s="49"/>
      <c r="K1749" s="49"/>
      <c r="L1749" s="49"/>
      <c r="M1749" s="49"/>
      <c r="N1749" s="49"/>
      <c r="O1749" s="59"/>
      <c r="P1749" s="1417">
        <f>'5.LO'!E275</f>
        <v>0</v>
      </c>
      <c r="Q1749" s="1418"/>
      <c r="R1749" s="1418"/>
      <c r="S1749" s="1418"/>
      <c r="T1749" s="1418"/>
      <c r="U1749" s="1419"/>
      <c r="V1749" s="39"/>
      <c r="W1749" s="130"/>
      <c r="X1749" s="130"/>
      <c r="Y1749" s="130"/>
      <c r="Z1749" s="130"/>
      <c r="AA1749" s="130"/>
      <c r="AB1749" s="130"/>
      <c r="AC1749" s="130"/>
      <c r="AD1749" s="130"/>
      <c r="AE1749" s="130"/>
    </row>
    <row r="1750" spans="1:31" s="141" customFormat="1" ht="14.25" customHeight="1">
      <c r="A1750" s="650"/>
      <c r="B1750" s="52"/>
      <c r="C1750" s="52"/>
      <c r="D1750" s="28"/>
      <c r="E1750" s="42" t="s">
        <v>1314</v>
      </c>
      <c r="F1750" s="49"/>
      <c r="G1750" s="49"/>
      <c r="H1750" s="49"/>
      <c r="I1750" s="49"/>
      <c r="J1750" s="49"/>
      <c r="K1750" s="49"/>
      <c r="L1750" s="49"/>
      <c r="M1750" s="49"/>
      <c r="N1750" s="49"/>
      <c r="O1750" s="59"/>
      <c r="P1750" s="1417">
        <f>'5.LO'!E276</f>
        <v>0</v>
      </c>
      <c r="Q1750" s="1418"/>
      <c r="R1750" s="1418"/>
      <c r="S1750" s="1418"/>
      <c r="T1750" s="1418"/>
      <c r="U1750" s="1419"/>
      <c r="V1750" s="39"/>
      <c r="W1750" s="130"/>
      <c r="X1750" s="130"/>
      <c r="Y1750" s="130"/>
      <c r="Z1750" s="130"/>
      <c r="AA1750" s="130"/>
      <c r="AB1750" s="130"/>
      <c r="AC1750" s="130"/>
      <c r="AD1750" s="130"/>
      <c r="AE1750" s="130"/>
    </row>
    <row r="1751" spans="1:31" s="141" customFormat="1" ht="14.25" customHeight="1">
      <c r="A1751" s="650"/>
      <c r="B1751" s="52"/>
      <c r="C1751" s="52"/>
      <c r="D1751" s="28"/>
      <c r="E1751" s="42" t="s">
        <v>1315</v>
      </c>
      <c r="F1751" s="49"/>
      <c r="G1751" s="49"/>
      <c r="H1751" s="49"/>
      <c r="I1751" s="49"/>
      <c r="J1751" s="49"/>
      <c r="K1751" s="49"/>
      <c r="L1751" s="49"/>
      <c r="M1751" s="49"/>
      <c r="N1751" s="49"/>
      <c r="O1751" s="59"/>
      <c r="P1751" s="1417">
        <f>'5.LO'!E277</f>
        <v>0</v>
      </c>
      <c r="Q1751" s="1418"/>
      <c r="R1751" s="1418"/>
      <c r="S1751" s="1418"/>
      <c r="T1751" s="1418"/>
      <c r="U1751" s="1419"/>
      <c r="V1751" s="39"/>
      <c r="W1751" s="130"/>
      <c r="X1751" s="130"/>
      <c r="Y1751" s="130"/>
      <c r="Z1751" s="130"/>
      <c r="AA1751" s="130"/>
      <c r="AB1751" s="130"/>
      <c r="AC1751" s="130"/>
      <c r="AD1751" s="130"/>
      <c r="AE1751" s="130"/>
    </row>
    <row r="1752" spans="1:31" s="141" customFormat="1" ht="14.25" customHeight="1">
      <c r="A1752" s="650"/>
      <c r="B1752" s="52"/>
      <c r="C1752" s="52"/>
      <c r="D1752" s="28"/>
      <c r="E1752" s="42" t="s">
        <v>1316</v>
      </c>
      <c r="F1752" s="49"/>
      <c r="G1752" s="49"/>
      <c r="H1752" s="49"/>
      <c r="I1752" s="49"/>
      <c r="J1752" s="49"/>
      <c r="K1752" s="49"/>
      <c r="L1752" s="49"/>
      <c r="M1752" s="49"/>
      <c r="N1752" s="49"/>
      <c r="O1752" s="59"/>
      <c r="P1752" s="1417">
        <f>'5.LO'!E278</f>
        <v>0</v>
      </c>
      <c r="Q1752" s="1418"/>
      <c r="R1752" s="1418"/>
      <c r="S1752" s="1418"/>
      <c r="T1752" s="1418"/>
      <c r="U1752" s="1419"/>
      <c r="V1752" s="39"/>
      <c r="W1752" s="130"/>
      <c r="X1752" s="130"/>
      <c r="Y1752" s="130"/>
      <c r="Z1752" s="130"/>
      <c r="AA1752" s="130"/>
      <c r="AB1752" s="130"/>
      <c r="AC1752" s="130"/>
      <c r="AD1752" s="130"/>
      <c r="AE1752" s="130"/>
    </row>
    <row r="1753" spans="1:31" s="141" customFormat="1" ht="14.25" customHeight="1">
      <c r="A1753" s="650"/>
      <c r="B1753" s="52"/>
      <c r="C1753" s="52"/>
      <c r="D1753" s="28"/>
      <c r="E1753" s="42" t="s">
        <v>1317</v>
      </c>
      <c r="F1753" s="49"/>
      <c r="G1753" s="49"/>
      <c r="H1753" s="49"/>
      <c r="I1753" s="49"/>
      <c r="J1753" s="49"/>
      <c r="K1753" s="49"/>
      <c r="L1753" s="49"/>
      <c r="M1753" s="49"/>
      <c r="N1753" s="49"/>
      <c r="O1753" s="59"/>
      <c r="P1753" s="1417">
        <f>'5.LO'!E279</f>
        <v>0</v>
      </c>
      <c r="Q1753" s="1418"/>
      <c r="R1753" s="1418"/>
      <c r="S1753" s="1418"/>
      <c r="T1753" s="1418"/>
      <c r="U1753" s="1419"/>
      <c r="V1753" s="39"/>
      <c r="W1753" s="130"/>
      <c r="X1753" s="130"/>
      <c r="Y1753" s="130"/>
      <c r="Z1753" s="130"/>
      <c r="AA1753" s="130"/>
      <c r="AB1753" s="130"/>
      <c r="AC1753" s="130"/>
      <c r="AD1753" s="130"/>
      <c r="AE1753" s="130"/>
    </row>
    <row r="1754" spans="1:31" s="141" customFormat="1" ht="14.25" customHeight="1">
      <c r="A1754" s="650"/>
      <c r="B1754" s="52"/>
      <c r="C1754" s="52"/>
      <c r="D1754" s="28"/>
      <c r="E1754" s="42" t="s">
        <v>1318</v>
      </c>
      <c r="F1754" s="49"/>
      <c r="G1754" s="49"/>
      <c r="H1754" s="49"/>
      <c r="I1754" s="49"/>
      <c r="J1754" s="49"/>
      <c r="K1754" s="49"/>
      <c r="L1754" s="49"/>
      <c r="M1754" s="49"/>
      <c r="N1754" s="49"/>
      <c r="O1754" s="59"/>
      <c r="P1754" s="1417">
        <f>'5.LO'!E280</f>
        <v>0</v>
      </c>
      <c r="Q1754" s="1418"/>
      <c r="R1754" s="1418"/>
      <c r="S1754" s="1418"/>
      <c r="T1754" s="1418"/>
      <c r="U1754" s="1419"/>
      <c r="V1754" s="39"/>
      <c r="W1754" s="130"/>
      <c r="X1754" s="130"/>
      <c r="Y1754" s="130"/>
      <c r="Z1754" s="130"/>
      <c r="AA1754" s="130"/>
      <c r="AB1754" s="130"/>
      <c r="AC1754" s="130"/>
      <c r="AD1754" s="130"/>
      <c r="AE1754" s="130"/>
    </row>
    <row r="1755" spans="1:31" s="141" customFormat="1" ht="14.25" customHeight="1">
      <c r="A1755" s="650"/>
      <c r="B1755" s="52"/>
      <c r="C1755" s="52"/>
      <c r="D1755" s="28"/>
      <c r="E1755" s="42" t="s">
        <v>1319</v>
      </c>
      <c r="F1755" s="49"/>
      <c r="G1755" s="49"/>
      <c r="H1755" s="49"/>
      <c r="I1755" s="49"/>
      <c r="J1755" s="49"/>
      <c r="K1755" s="49"/>
      <c r="L1755" s="49"/>
      <c r="M1755" s="49"/>
      <c r="N1755" s="49"/>
      <c r="O1755" s="59"/>
      <c r="P1755" s="1417">
        <f>'5.LO'!E281</f>
        <v>0</v>
      </c>
      <c r="Q1755" s="1418"/>
      <c r="R1755" s="1418"/>
      <c r="S1755" s="1418"/>
      <c r="T1755" s="1418"/>
      <c r="U1755" s="1419"/>
      <c r="V1755" s="39"/>
      <c r="W1755" s="130"/>
      <c r="X1755" s="130"/>
      <c r="Y1755" s="130"/>
      <c r="Z1755" s="130"/>
      <c r="AA1755" s="130"/>
      <c r="AB1755" s="130"/>
      <c r="AC1755" s="130"/>
      <c r="AD1755" s="130"/>
      <c r="AE1755" s="130"/>
    </row>
    <row r="1756" spans="1:31" s="141" customFormat="1" ht="14.25" customHeight="1">
      <c r="A1756" s="650"/>
      <c r="B1756" s="52"/>
      <c r="C1756" s="52"/>
      <c r="D1756" s="28"/>
      <c r="E1756" s="42" t="s">
        <v>1320</v>
      </c>
      <c r="F1756" s="49"/>
      <c r="G1756" s="49"/>
      <c r="H1756" s="49"/>
      <c r="I1756" s="49"/>
      <c r="J1756" s="49"/>
      <c r="K1756" s="49"/>
      <c r="L1756" s="49"/>
      <c r="M1756" s="49"/>
      <c r="N1756" s="49"/>
      <c r="O1756" s="59"/>
      <c r="P1756" s="1417">
        <f>'5.LO'!E282</f>
        <v>0</v>
      </c>
      <c r="Q1756" s="1418"/>
      <c r="R1756" s="1418"/>
      <c r="S1756" s="1418"/>
      <c r="T1756" s="1418"/>
      <c r="U1756" s="1419"/>
      <c r="V1756" s="39"/>
      <c r="W1756" s="130"/>
      <c r="X1756" s="130"/>
      <c r="Y1756" s="130"/>
      <c r="Z1756" s="130"/>
      <c r="AA1756" s="130"/>
      <c r="AB1756" s="130"/>
      <c r="AC1756" s="130"/>
      <c r="AD1756" s="130"/>
      <c r="AE1756" s="130"/>
    </row>
    <row r="1757" spans="1:31" s="141" customFormat="1" ht="14.25" customHeight="1">
      <c r="A1757" s="650"/>
      <c r="B1757" s="52"/>
      <c r="C1757" s="52"/>
      <c r="D1757" s="28"/>
      <c r="E1757" s="42" t="s">
        <v>1321</v>
      </c>
      <c r="F1757" s="49"/>
      <c r="G1757" s="49"/>
      <c r="H1757" s="49"/>
      <c r="I1757" s="49"/>
      <c r="J1757" s="49"/>
      <c r="K1757" s="49"/>
      <c r="L1757" s="49"/>
      <c r="M1757" s="49"/>
      <c r="N1757" s="49"/>
      <c r="O1757" s="59"/>
      <c r="P1757" s="1417">
        <f>'5.LO'!E283</f>
        <v>0</v>
      </c>
      <c r="Q1757" s="1418"/>
      <c r="R1757" s="1418"/>
      <c r="S1757" s="1418"/>
      <c r="T1757" s="1418"/>
      <c r="U1757" s="1419"/>
      <c r="V1757" s="39"/>
      <c r="W1757" s="130"/>
      <c r="X1757" s="130"/>
      <c r="Y1757" s="130"/>
      <c r="Z1757" s="130"/>
      <c r="AA1757" s="130"/>
      <c r="AB1757" s="130"/>
      <c r="AC1757" s="130"/>
      <c r="AD1757" s="130"/>
      <c r="AE1757" s="130"/>
    </row>
    <row r="1758" spans="1:31" s="141" customFormat="1" ht="14.25" customHeight="1">
      <c r="A1758" s="650"/>
      <c r="B1758" s="52"/>
      <c r="C1758" s="52"/>
      <c r="D1758" s="28"/>
      <c r="E1758" s="42" t="s">
        <v>1322</v>
      </c>
      <c r="F1758" s="49"/>
      <c r="G1758" s="49"/>
      <c r="H1758" s="49"/>
      <c r="I1758" s="49"/>
      <c r="J1758" s="49"/>
      <c r="K1758" s="49"/>
      <c r="L1758" s="49"/>
      <c r="M1758" s="49"/>
      <c r="N1758" s="49"/>
      <c r="O1758" s="59"/>
      <c r="P1758" s="1417">
        <f>'5.LO'!E284</f>
        <v>0</v>
      </c>
      <c r="Q1758" s="1418"/>
      <c r="R1758" s="1418"/>
      <c r="S1758" s="1418"/>
      <c r="T1758" s="1418"/>
      <c r="U1758" s="1419"/>
      <c r="V1758" s="39"/>
      <c r="W1758" s="130"/>
      <c r="X1758" s="130"/>
      <c r="Y1758" s="130"/>
      <c r="Z1758" s="130"/>
      <c r="AA1758" s="130"/>
      <c r="AB1758" s="130"/>
      <c r="AC1758" s="130"/>
      <c r="AD1758" s="130"/>
      <c r="AE1758" s="130"/>
    </row>
    <row r="1759" spans="1:31" s="141" customFormat="1" ht="14.25" customHeight="1">
      <c r="A1759" s="650"/>
      <c r="B1759" s="52"/>
      <c r="C1759" s="52"/>
      <c r="D1759" s="28"/>
      <c r="E1759" s="42" t="s">
        <v>1323</v>
      </c>
      <c r="F1759" s="49"/>
      <c r="G1759" s="49"/>
      <c r="H1759" s="49"/>
      <c r="I1759" s="49"/>
      <c r="J1759" s="49"/>
      <c r="K1759" s="49"/>
      <c r="L1759" s="49"/>
      <c r="M1759" s="49"/>
      <c r="N1759" s="49"/>
      <c r="O1759" s="59"/>
      <c r="P1759" s="1417">
        <f>'5.LO'!E285</f>
        <v>0</v>
      </c>
      <c r="Q1759" s="1418"/>
      <c r="R1759" s="1418"/>
      <c r="S1759" s="1418"/>
      <c r="T1759" s="1418"/>
      <c r="U1759" s="1419"/>
      <c r="V1759" s="39"/>
      <c r="W1759" s="130"/>
      <c r="X1759" s="130"/>
      <c r="Y1759" s="130"/>
      <c r="Z1759" s="130"/>
      <c r="AA1759" s="130"/>
      <c r="AB1759" s="130"/>
      <c r="AC1759" s="130"/>
      <c r="AD1759" s="130"/>
      <c r="AE1759" s="130"/>
    </row>
    <row r="1760" spans="1:31" s="141" customFormat="1" ht="14.25" customHeight="1">
      <c r="A1760" s="650"/>
      <c r="B1760" s="52"/>
      <c r="C1760" s="52"/>
      <c r="D1760" s="60"/>
      <c r="E1760" s="42" t="s">
        <v>1324</v>
      </c>
      <c r="F1760" s="49"/>
      <c r="G1760" s="49"/>
      <c r="H1760" s="49"/>
      <c r="I1760" s="49"/>
      <c r="J1760" s="49"/>
      <c r="K1760" s="49"/>
      <c r="L1760" s="49"/>
      <c r="M1760" s="49"/>
      <c r="N1760" s="49"/>
      <c r="O1760" s="59"/>
      <c r="P1760" s="1417">
        <f>'5.LO'!E286</f>
        <v>0</v>
      </c>
      <c r="Q1760" s="1418"/>
      <c r="R1760" s="1418"/>
      <c r="S1760" s="1418"/>
      <c r="T1760" s="1418"/>
      <c r="U1760" s="1419"/>
      <c r="V1760" s="39"/>
      <c r="W1760" s="130"/>
      <c r="X1760" s="130"/>
      <c r="Y1760" s="130"/>
      <c r="Z1760" s="130"/>
      <c r="AA1760" s="130"/>
      <c r="AB1760" s="130"/>
      <c r="AC1760" s="130"/>
      <c r="AD1760" s="130"/>
      <c r="AE1760" s="130"/>
    </row>
    <row r="1761" spans="1:31" s="141" customFormat="1" ht="22.5" customHeight="1">
      <c r="A1761" s="650"/>
      <c r="B1761" s="52"/>
      <c r="C1761" s="52"/>
      <c r="D1761" s="60"/>
      <c r="E1761" s="42" t="s">
        <v>1325</v>
      </c>
      <c r="F1761" s="49"/>
      <c r="G1761" s="49"/>
      <c r="H1761" s="49"/>
      <c r="I1761" s="49"/>
      <c r="J1761" s="49"/>
      <c r="K1761" s="49"/>
      <c r="L1761" s="49"/>
      <c r="M1761" s="49"/>
      <c r="N1761" s="49"/>
      <c r="O1761" s="59"/>
      <c r="P1761" s="1417">
        <f>'5.LO'!E287</f>
        <v>0</v>
      </c>
      <c r="Q1761" s="1418"/>
      <c r="R1761" s="1418"/>
      <c r="S1761" s="1418"/>
      <c r="T1761" s="1418"/>
      <c r="U1761" s="1419"/>
      <c r="V1761" s="39"/>
      <c r="W1761" s="130"/>
      <c r="X1761" s="130"/>
      <c r="Y1761" s="130"/>
      <c r="Z1761" s="130"/>
      <c r="AA1761" s="130"/>
      <c r="AB1761" s="130"/>
      <c r="AC1761" s="130"/>
      <c r="AD1761" s="130"/>
      <c r="AE1761" s="130"/>
    </row>
    <row r="1762" spans="1:31" s="141" customFormat="1" ht="22.5" customHeight="1">
      <c r="A1762" s="650"/>
      <c r="B1762" s="52"/>
      <c r="C1762" s="52"/>
      <c r="D1762" s="60"/>
      <c r="E1762" s="42" t="s">
        <v>1326</v>
      </c>
      <c r="F1762" s="49"/>
      <c r="G1762" s="49"/>
      <c r="H1762" s="49"/>
      <c r="I1762" s="49"/>
      <c r="J1762" s="49"/>
      <c r="K1762" s="49"/>
      <c r="L1762" s="49"/>
      <c r="M1762" s="49"/>
      <c r="N1762" s="49"/>
      <c r="O1762" s="59"/>
      <c r="P1762" s="1417">
        <f>'5.LO'!E288</f>
        <v>0</v>
      </c>
      <c r="Q1762" s="1418"/>
      <c r="R1762" s="1418"/>
      <c r="S1762" s="1418"/>
      <c r="T1762" s="1418"/>
      <c r="U1762" s="1419"/>
      <c r="V1762" s="39"/>
      <c r="W1762" s="130"/>
      <c r="X1762" s="130"/>
      <c r="Y1762" s="130"/>
      <c r="Z1762" s="130"/>
      <c r="AA1762" s="130"/>
      <c r="AB1762" s="130"/>
      <c r="AC1762" s="130"/>
      <c r="AD1762" s="130"/>
      <c r="AE1762" s="130"/>
    </row>
    <row r="1763" spans="1:31" s="141" customFormat="1" ht="22.5" customHeight="1">
      <c r="A1763" s="650"/>
      <c r="B1763" s="52"/>
      <c r="C1763" s="52"/>
      <c r="D1763" s="60"/>
      <c r="E1763" s="42" t="s">
        <v>1327</v>
      </c>
      <c r="F1763" s="49"/>
      <c r="G1763" s="49"/>
      <c r="H1763" s="49"/>
      <c r="I1763" s="49"/>
      <c r="J1763" s="49"/>
      <c r="K1763" s="49"/>
      <c r="L1763" s="49"/>
      <c r="M1763" s="49"/>
      <c r="N1763" s="49"/>
      <c r="O1763" s="59"/>
      <c r="P1763" s="1417">
        <f>'5.LO'!E289</f>
        <v>0</v>
      </c>
      <c r="Q1763" s="1418"/>
      <c r="R1763" s="1418"/>
      <c r="S1763" s="1418"/>
      <c r="T1763" s="1418"/>
      <c r="U1763" s="1419"/>
      <c r="V1763" s="39"/>
      <c r="W1763" s="130"/>
      <c r="X1763" s="130"/>
      <c r="Y1763" s="130"/>
      <c r="Z1763" s="130"/>
      <c r="AA1763" s="130"/>
      <c r="AB1763" s="130"/>
      <c r="AC1763" s="130"/>
      <c r="AD1763" s="130"/>
      <c r="AE1763" s="130"/>
    </row>
    <row r="1764" spans="1:31" s="141" customFormat="1" ht="14.25" customHeight="1">
      <c r="A1764" s="650"/>
      <c r="B1764" s="52"/>
      <c r="C1764" s="52"/>
      <c r="D1764" s="60"/>
      <c r="E1764" s="42" t="s">
        <v>1328</v>
      </c>
      <c r="F1764" s="49"/>
      <c r="G1764" s="49"/>
      <c r="H1764" s="49"/>
      <c r="I1764" s="49"/>
      <c r="J1764" s="49"/>
      <c r="K1764" s="49"/>
      <c r="L1764" s="49"/>
      <c r="M1764" s="49"/>
      <c r="N1764" s="49"/>
      <c r="O1764" s="59"/>
      <c r="P1764" s="1417">
        <f>'5.LO'!E290</f>
        <v>0</v>
      </c>
      <c r="Q1764" s="1418"/>
      <c r="R1764" s="1418"/>
      <c r="S1764" s="1418"/>
      <c r="T1764" s="1418"/>
      <c r="U1764" s="1419"/>
      <c r="V1764" s="39"/>
      <c r="W1764" s="130"/>
      <c r="X1764" s="130"/>
      <c r="Y1764" s="130"/>
      <c r="Z1764" s="130"/>
      <c r="AA1764" s="130"/>
      <c r="AB1764" s="130"/>
      <c r="AC1764" s="130"/>
      <c r="AD1764" s="130"/>
      <c r="AE1764" s="130"/>
    </row>
    <row r="1765" spans="1:31" s="141" customFormat="1" ht="14.25" customHeight="1">
      <c r="A1765" s="650"/>
      <c r="B1765" s="52"/>
      <c r="C1765" s="52"/>
      <c r="D1765" s="60"/>
      <c r="E1765" s="42" t="s">
        <v>1329</v>
      </c>
      <c r="F1765" s="49"/>
      <c r="G1765" s="49"/>
      <c r="H1765" s="49"/>
      <c r="I1765" s="49"/>
      <c r="J1765" s="49"/>
      <c r="K1765" s="49"/>
      <c r="L1765" s="49"/>
      <c r="M1765" s="49"/>
      <c r="N1765" s="49"/>
      <c r="O1765" s="59"/>
      <c r="P1765" s="1417">
        <f>'5.LO'!E291</f>
        <v>0</v>
      </c>
      <c r="Q1765" s="1418"/>
      <c r="R1765" s="1418"/>
      <c r="S1765" s="1418"/>
      <c r="T1765" s="1418"/>
      <c r="U1765" s="1419"/>
      <c r="V1765" s="39"/>
      <c r="W1765" s="130"/>
      <c r="X1765" s="130"/>
      <c r="Y1765" s="130"/>
      <c r="Z1765" s="130"/>
      <c r="AA1765" s="130"/>
      <c r="AB1765" s="130"/>
      <c r="AC1765" s="130"/>
      <c r="AD1765" s="130"/>
      <c r="AE1765" s="130"/>
    </row>
    <row r="1766" spans="1:31" s="141" customFormat="1" ht="22.5" customHeight="1">
      <c r="A1766" s="650"/>
      <c r="B1766" s="52"/>
      <c r="C1766" s="52"/>
      <c r="D1766" s="60"/>
      <c r="E1766" s="42" t="s">
        <v>1330</v>
      </c>
      <c r="F1766" s="49"/>
      <c r="G1766" s="49"/>
      <c r="H1766" s="49"/>
      <c r="I1766" s="49"/>
      <c r="J1766" s="49"/>
      <c r="K1766" s="49"/>
      <c r="L1766" s="49"/>
      <c r="M1766" s="49"/>
      <c r="N1766" s="49"/>
      <c r="O1766" s="59"/>
      <c r="P1766" s="1417">
        <f>'5.LO'!E292</f>
        <v>0</v>
      </c>
      <c r="Q1766" s="1418"/>
      <c r="R1766" s="1418"/>
      <c r="S1766" s="1418"/>
      <c r="T1766" s="1418"/>
      <c r="U1766" s="1419"/>
      <c r="V1766" s="39"/>
      <c r="W1766" s="130"/>
      <c r="X1766" s="130"/>
      <c r="Y1766" s="130"/>
      <c r="Z1766" s="130"/>
      <c r="AA1766" s="130"/>
      <c r="AB1766" s="130"/>
      <c r="AC1766" s="130"/>
      <c r="AD1766" s="130"/>
      <c r="AE1766" s="130"/>
    </row>
    <row r="1767" spans="1:31" s="141" customFormat="1" ht="14.25" customHeight="1">
      <c r="A1767" s="650"/>
      <c r="B1767" s="52"/>
      <c r="C1767" s="52"/>
      <c r="D1767" s="60"/>
      <c r="E1767" s="42" t="s">
        <v>1331</v>
      </c>
      <c r="F1767" s="49"/>
      <c r="G1767" s="49"/>
      <c r="H1767" s="49"/>
      <c r="I1767" s="49"/>
      <c r="J1767" s="49"/>
      <c r="K1767" s="49"/>
      <c r="L1767" s="49"/>
      <c r="M1767" s="49"/>
      <c r="N1767" s="49"/>
      <c r="O1767" s="59"/>
      <c r="P1767" s="1417">
        <f>'5.LO'!E293</f>
        <v>0</v>
      </c>
      <c r="Q1767" s="1418"/>
      <c r="R1767" s="1418"/>
      <c r="S1767" s="1418"/>
      <c r="T1767" s="1418"/>
      <c r="U1767" s="1419"/>
      <c r="V1767" s="39"/>
      <c r="W1767" s="130"/>
      <c r="X1767" s="130"/>
      <c r="Y1767" s="130"/>
      <c r="Z1767" s="130"/>
      <c r="AA1767" s="130"/>
      <c r="AB1767" s="130"/>
      <c r="AC1767" s="130"/>
      <c r="AD1767" s="130"/>
      <c r="AE1767" s="130"/>
    </row>
    <row r="1768" spans="1:31" s="141" customFormat="1" ht="14.25" customHeight="1">
      <c r="A1768" s="650"/>
      <c r="B1768" s="52"/>
      <c r="C1768" s="52"/>
      <c r="D1768" s="50" t="s">
        <v>1334</v>
      </c>
      <c r="E1768" s="41"/>
      <c r="F1768" s="49"/>
      <c r="G1768" s="49"/>
      <c r="H1768" s="49"/>
      <c r="I1768" s="49"/>
      <c r="J1768" s="49"/>
      <c r="K1768" s="49"/>
      <c r="L1768" s="49"/>
      <c r="M1768" s="49"/>
      <c r="N1768" s="49"/>
      <c r="O1768" s="59"/>
      <c r="P1768" s="1429">
        <f>SUM(P1769:U1770)</f>
        <v>0</v>
      </c>
      <c r="Q1768" s="1430"/>
      <c r="R1768" s="1430"/>
      <c r="S1768" s="1430"/>
      <c r="T1768" s="1430"/>
      <c r="U1768" s="1431"/>
      <c r="V1768" s="39"/>
      <c r="W1768" s="130"/>
      <c r="X1768" s="130"/>
      <c r="Y1768" s="130"/>
      <c r="Z1768" s="130"/>
      <c r="AA1768" s="130"/>
      <c r="AB1768" s="130"/>
      <c r="AC1768" s="130"/>
      <c r="AD1768" s="130"/>
      <c r="AE1768" s="130"/>
    </row>
    <row r="1769" spans="1:31" s="141" customFormat="1" ht="22.5" customHeight="1">
      <c r="A1769" s="650"/>
      <c r="B1769" s="52"/>
      <c r="C1769" s="52"/>
      <c r="D1769" s="60"/>
      <c r="E1769" s="42" t="s">
        <v>1335</v>
      </c>
      <c r="F1769" s="49"/>
      <c r="G1769" s="49"/>
      <c r="H1769" s="49"/>
      <c r="I1769" s="49"/>
      <c r="J1769" s="49"/>
      <c r="K1769" s="49"/>
      <c r="L1769" s="49"/>
      <c r="M1769" s="49"/>
      <c r="N1769" s="49"/>
      <c r="O1769" s="59"/>
      <c r="P1769" s="1417">
        <f>'5.LO'!E295</f>
        <v>0</v>
      </c>
      <c r="Q1769" s="1418"/>
      <c r="R1769" s="1418"/>
      <c r="S1769" s="1418"/>
      <c r="T1769" s="1418"/>
      <c r="U1769" s="1419"/>
      <c r="V1769" s="39"/>
      <c r="W1769" s="130"/>
      <c r="X1769" s="130"/>
      <c r="Y1769" s="130"/>
      <c r="Z1769" s="130"/>
      <c r="AA1769" s="130"/>
      <c r="AB1769" s="130"/>
      <c r="AC1769" s="130"/>
      <c r="AD1769" s="130"/>
      <c r="AE1769" s="130"/>
    </row>
    <row r="1770" spans="1:31" s="141" customFormat="1" ht="14.25" customHeight="1">
      <c r="A1770" s="650"/>
      <c r="B1770" s="52"/>
      <c r="C1770" s="52"/>
      <c r="D1770" s="60"/>
      <c r="E1770" s="42" t="s">
        <v>1336</v>
      </c>
      <c r="F1770" s="49"/>
      <c r="G1770" s="49"/>
      <c r="H1770" s="49"/>
      <c r="I1770" s="49"/>
      <c r="J1770" s="49"/>
      <c r="K1770" s="49"/>
      <c r="L1770" s="49"/>
      <c r="M1770" s="49"/>
      <c r="N1770" s="49"/>
      <c r="O1770" s="59"/>
      <c r="P1770" s="1417">
        <f>'5.LO'!E296</f>
        <v>0</v>
      </c>
      <c r="Q1770" s="1418"/>
      <c r="R1770" s="1418"/>
      <c r="S1770" s="1418"/>
      <c r="T1770" s="1418"/>
      <c r="U1770" s="1419"/>
      <c r="V1770" s="39"/>
      <c r="W1770" s="130"/>
      <c r="X1770" s="130"/>
      <c r="Y1770" s="130"/>
      <c r="Z1770" s="130"/>
      <c r="AA1770" s="130"/>
      <c r="AB1770" s="130"/>
      <c r="AC1770" s="130"/>
      <c r="AD1770" s="130"/>
      <c r="AE1770" s="130"/>
    </row>
    <row r="1771" spans="1:31" s="141" customFormat="1" ht="14.25" customHeight="1">
      <c r="A1771" s="650"/>
      <c r="B1771" s="52"/>
      <c r="C1771" s="52"/>
      <c r="D1771" s="50" t="s">
        <v>1337</v>
      </c>
      <c r="E1771" s="41"/>
      <c r="F1771" s="49"/>
      <c r="G1771" s="49"/>
      <c r="H1771" s="49"/>
      <c r="I1771" s="49"/>
      <c r="J1771" s="49"/>
      <c r="K1771" s="49"/>
      <c r="L1771" s="49"/>
      <c r="M1771" s="49"/>
      <c r="N1771" s="49"/>
      <c r="O1771" s="59"/>
      <c r="P1771" s="1429">
        <f>SUM(P1772:U1776)</f>
        <v>0</v>
      </c>
      <c r="Q1771" s="1430"/>
      <c r="R1771" s="1430"/>
      <c r="S1771" s="1430"/>
      <c r="T1771" s="1430"/>
      <c r="U1771" s="1431"/>
      <c r="V1771" s="39"/>
      <c r="W1771" s="130"/>
      <c r="X1771" s="130"/>
      <c r="Y1771" s="130"/>
      <c r="Z1771" s="130"/>
      <c r="AA1771" s="130"/>
      <c r="AB1771" s="130"/>
      <c r="AC1771" s="130"/>
      <c r="AD1771" s="130"/>
      <c r="AE1771" s="130"/>
    </row>
    <row r="1772" spans="1:31" s="141" customFormat="1" ht="14.25" customHeight="1">
      <c r="A1772" s="650"/>
      <c r="B1772" s="52"/>
      <c r="C1772" s="52"/>
      <c r="D1772" s="60"/>
      <c r="E1772" s="42" t="s">
        <v>1338</v>
      </c>
      <c r="F1772" s="49"/>
      <c r="G1772" s="49"/>
      <c r="H1772" s="49"/>
      <c r="I1772" s="49"/>
      <c r="J1772" s="49"/>
      <c r="K1772" s="49"/>
      <c r="L1772" s="49"/>
      <c r="M1772" s="49"/>
      <c r="N1772" s="49"/>
      <c r="O1772" s="59"/>
      <c r="P1772" s="1417">
        <f>'5.LO'!E298</f>
        <v>0</v>
      </c>
      <c r="Q1772" s="1418"/>
      <c r="R1772" s="1418"/>
      <c r="S1772" s="1418"/>
      <c r="T1772" s="1418"/>
      <c r="U1772" s="1419"/>
      <c r="V1772" s="39"/>
      <c r="W1772" s="130"/>
      <c r="X1772" s="130"/>
      <c r="Y1772" s="130"/>
      <c r="Z1772" s="130"/>
      <c r="AA1772" s="130"/>
      <c r="AB1772" s="130"/>
      <c r="AC1772" s="130"/>
      <c r="AD1772" s="130"/>
      <c r="AE1772" s="130"/>
    </row>
    <row r="1773" spans="1:31" s="141" customFormat="1" ht="14.25" customHeight="1">
      <c r="A1773" s="650"/>
      <c r="B1773" s="52"/>
      <c r="C1773" s="52"/>
      <c r="D1773" s="60"/>
      <c r="E1773" s="42" t="s">
        <v>1339</v>
      </c>
      <c r="F1773" s="49"/>
      <c r="G1773" s="49"/>
      <c r="H1773" s="49"/>
      <c r="I1773" s="49"/>
      <c r="J1773" s="49"/>
      <c r="K1773" s="49"/>
      <c r="L1773" s="49"/>
      <c r="M1773" s="49"/>
      <c r="N1773" s="49"/>
      <c r="O1773" s="59"/>
      <c r="P1773" s="1417">
        <f>'5.LO'!E299</f>
        <v>0</v>
      </c>
      <c r="Q1773" s="1418"/>
      <c r="R1773" s="1418"/>
      <c r="S1773" s="1418"/>
      <c r="T1773" s="1418"/>
      <c r="U1773" s="1419"/>
      <c r="V1773" s="39"/>
      <c r="W1773" s="130"/>
      <c r="X1773" s="130"/>
      <c r="Y1773" s="130"/>
      <c r="Z1773" s="130"/>
      <c r="AA1773" s="130"/>
      <c r="AB1773" s="130"/>
      <c r="AC1773" s="130"/>
      <c r="AD1773" s="130"/>
      <c r="AE1773" s="130"/>
    </row>
    <row r="1774" spans="1:31" s="141" customFormat="1" ht="14.25" customHeight="1">
      <c r="A1774" s="650"/>
      <c r="B1774" s="52"/>
      <c r="C1774" s="52"/>
      <c r="D1774" s="60"/>
      <c r="E1774" s="42" t="s">
        <v>1340</v>
      </c>
      <c r="F1774" s="49"/>
      <c r="G1774" s="49"/>
      <c r="H1774" s="49"/>
      <c r="I1774" s="49"/>
      <c r="J1774" s="49"/>
      <c r="K1774" s="49"/>
      <c r="L1774" s="49"/>
      <c r="M1774" s="49"/>
      <c r="N1774" s="49"/>
      <c r="O1774" s="59"/>
      <c r="P1774" s="1417">
        <f>'5.LO'!E300</f>
        <v>0</v>
      </c>
      <c r="Q1774" s="1418"/>
      <c r="R1774" s="1418"/>
      <c r="S1774" s="1418"/>
      <c r="T1774" s="1418"/>
      <c r="U1774" s="1419"/>
      <c r="V1774" s="39"/>
      <c r="W1774" s="130"/>
      <c r="X1774" s="130"/>
      <c r="Y1774" s="130"/>
      <c r="Z1774" s="130"/>
      <c r="AA1774" s="130"/>
      <c r="AB1774" s="130"/>
      <c r="AC1774" s="130"/>
      <c r="AD1774" s="130"/>
      <c r="AE1774" s="130"/>
    </row>
    <row r="1775" spans="1:31" s="141" customFormat="1" ht="14.25" customHeight="1">
      <c r="A1775" s="650"/>
      <c r="B1775" s="52"/>
      <c r="C1775" s="52"/>
      <c r="D1775" s="60"/>
      <c r="E1775" s="42" t="s">
        <v>1341</v>
      </c>
      <c r="F1775" s="49"/>
      <c r="G1775" s="49"/>
      <c r="H1775" s="49"/>
      <c r="I1775" s="49"/>
      <c r="J1775" s="49"/>
      <c r="K1775" s="49"/>
      <c r="L1775" s="49"/>
      <c r="M1775" s="49"/>
      <c r="N1775" s="49"/>
      <c r="O1775" s="59"/>
      <c r="P1775" s="1417">
        <f>'5.LO'!E301</f>
        <v>0</v>
      </c>
      <c r="Q1775" s="1418"/>
      <c r="R1775" s="1418"/>
      <c r="S1775" s="1418"/>
      <c r="T1775" s="1418"/>
      <c r="U1775" s="1419"/>
      <c r="V1775" s="39"/>
      <c r="W1775" s="130"/>
      <c r="X1775" s="130"/>
      <c r="Y1775" s="130"/>
      <c r="Z1775" s="130"/>
      <c r="AA1775" s="130"/>
      <c r="AB1775" s="130"/>
      <c r="AC1775" s="130"/>
      <c r="AD1775" s="130"/>
      <c r="AE1775" s="130"/>
    </row>
    <row r="1776" spans="1:31" s="141" customFormat="1" ht="14.25" customHeight="1">
      <c r="A1776" s="650"/>
      <c r="B1776" s="52"/>
      <c r="C1776" s="52"/>
      <c r="D1776" s="60"/>
      <c r="E1776" s="42" t="s">
        <v>1342</v>
      </c>
      <c r="F1776" s="49"/>
      <c r="G1776" s="49"/>
      <c r="H1776" s="49"/>
      <c r="I1776" s="49"/>
      <c r="J1776" s="49"/>
      <c r="K1776" s="49"/>
      <c r="L1776" s="49"/>
      <c r="M1776" s="49"/>
      <c r="N1776" s="49"/>
      <c r="O1776" s="59"/>
      <c r="P1776" s="1417">
        <f>'5.LO'!E302</f>
        <v>0</v>
      </c>
      <c r="Q1776" s="1418"/>
      <c r="R1776" s="1418"/>
      <c r="S1776" s="1418"/>
      <c r="T1776" s="1418"/>
      <c r="U1776" s="1419"/>
      <c r="V1776" s="39"/>
      <c r="W1776" s="130"/>
      <c r="X1776" s="130"/>
      <c r="Y1776" s="130"/>
      <c r="Z1776" s="130"/>
      <c r="AA1776" s="130"/>
      <c r="AB1776" s="130"/>
      <c r="AC1776" s="130"/>
      <c r="AD1776" s="130"/>
      <c r="AE1776" s="130"/>
    </row>
    <row r="1777" spans="1:31" s="141" customFormat="1" ht="14.25" customHeight="1">
      <c r="A1777" s="650"/>
      <c r="B1777" s="52"/>
      <c r="C1777" s="52"/>
      <c r="D1777" s="50" t="s">
        <v>1343</v>
      </c>
      <c r="E1777" s="41"/>
      <c r="F1777" s="49"/>
      <c r="G1777" s="49"/>
      <c r="H1777" s="49"/>
      <c r="I1777" s="49"/>
      <c r="J1777" s="49"/>
      <c r="K1777" s="49"/>
      <c r="L1777" s="49"/>
      <c r="M1777" s="49"/>
      <c r="N1777" s="49"/>
      <c r="O1777" s="59"/>
      <c r="P1777" s="1429">
        <f>SUM(P1778:U1779)</f>
        <v>0</v>
      </c>
      <c r="Q1777" s="1430"/>
      <c r="R1777" s="1430"/>
      <c r="S1777" s="1430"/>
      <c r="T1777" s="1430"/>
      <c r="U1777" s="1431"/>
      <c r="V1777" s="39"/>
      <c r="W1777" s="130"/>
      <c r="X1777" s="130"/>
      <c r="Y1777" s="130"/>
      <c r="Z1777" s="130"/>
      <c r="AA1777" s="130"/>
      <c r="AB1777" s="130"/>
      <c r="AC1777" s="130"/>
      <c r="AD1777" s="130"/>
      <c r="AE1777" s="130"/>
    </row>
    <row r="1778" spans="1:31" s="141" customFormat="1" ht="14.25" customHeight="1">
      <c r="A1778" s="650"/>
      <c r="B1778" s="52"/>
      <c r="C1778" s="52"/>
      <c r="D1778" s="60"/>
      <c r="E1778" s="42" t="s">
        <v>1344</v>
      </c>
      <c r="F1778" s="49"/>
      <c r="G1778" s="49"/>
      <c r="H1778" s="49"/>
      <c r="I1778" s="49"/>
      <c r="J1778" s="49"/>
      <c r="K1778" s="49"/>
      <c r="L1778" s="49"/>
      <c r="M1778" s="49"/>
      <c r="N1778" s="49"/>
      <c r="O1778" s="59"/>
      <c r="P1778" s="1417">
        <f>'5.LO'!E304</f>
        <v>0</v>
      </c>
      <c r="Q1778" s="1418"/>
      <c r="R1778" s="1418"/>
      <c r="S1778" s="1418"/>
      <c r="T1778" s="1418"/>
      <c r="U1778" s="1419"/>
      <c r="V1778" s="39"/>
      <c r="W1778" s="130"/>
      <c r="X1778" s="130"/>
      <c r="Y1778" s="130"/>
      <c r="Z1778" s="130"/>
      <c r="AA1778" s="130"/>
      <c r="AB1778" s="130"/>
      <c r="AC1778" s="130"/>
      <c r="AD1778" s="130"/>
      <c r="AE1778" s="130"/>
    </row>
    <row r="1779" spans="1:31" s="141" customFormat="1" ht="14.25" customHeight="1">
      <c r="A1779" s="650"/>
      <c r="B1779" s="52"/>
      <c r="C1779" s="52"/>
      <c r="D1779" s="60"/>
      <c r="E1779" s="42" t="s">
        <v>1345</v>
      </c>
      <c r="F1779" s="49"/>
      <c r="G1779" s="49"/>
      <c r="H1779" s="49"/>
      <c r="I1779" s="49"/>
      <c r="J1779" s="49"/>
      <c r="K1779" s="49"/>
      <c r="L1779" s="49"/>
      <c r="M1779" s="49"/>
      <c r="N1779" s="49"/>
      <c r="O1779" s="59"/>
      <c r="P1779" s="1417">
        <f>'5.LO'!E305</f>
        <v>0</v>
      </c>
      <c r="Q1779" s="1418"/>
      <c r="R1779" s="1418"/>
      <c r="S1779" s="1418"/>
      <c r="T1779" s="1418"/>
      <c r="U1779" s="1419"/>
      <c r="V1779" s="39"/>
      <c r="W1779" s="130"/>
      <c r="X1779" s="130"/>
      <c r="Y1779" s="130"/>
      <c r="Z1779" s="130"/>
      <c r="AA1779" s="130"/>
      <c r="AB1779" s="130"/>
      <c r="AC1779" s="130"/>
      <c r="AD1779" s="130"/>
      <c r="AE1779" s="130"/>
    </row>
    <row r="1780" spans="1:31" s="141" customFormat="1" ht="14.25" customHeight="1">
      <c r="A1780" s="650"/>
      <c r="B1780" s="52"/>
      <c r="C1780" s="52"/>
      <c r="D1780" s="50" t="s">
        <v>1346</v>
      </c>
      <c r="E1780" s="41"/>
      <c r="F1780" s="49"/>
      <c r="G1780" s="49"/>
      <c r="H1780" s="49"/>
      <c r="I1780" s="49"/>
      <c r="J1780" s="49"/>
      <c r="K1780" s="49"/>
      <c r="L1780" s="49"/>
      <c r="M1780" s="49"/>
      <c r="N1780" s="49"/>
      <c r="O1780" s="59"/>
      <c r="P1780" s="1429">
        <f>SUM(P1781:U1782)</f>
        <v>0</v>
      </c>
      <c r="Q1780" s="1430"/>
      <c r="R1780" s="1430"/>
      <c r="S1780" s="1430"/>
      <c r="T1780" s="1430"/>
      <c r="U1780" s="1431"/>
      <c r="V1780" s="39"/>
      <c r="W1780" s="130"/>
      <c r="X1780" s="130"/>
      <c r="Y1780" s="130"/>
      <c r="Z1780" s="130"/>
      <c r="AA1780" s="130"/>
      <c r="AB1780" s="130"/>
      <c r="AC1780" s="130"/>
      <c r="AD1780" s="130"/>
      <c r="AE1780" s="130"/>
    </row>
    <row r="1781" spans="1:31" s="141" customFormat="1" ht="14.25" customHeight="1">
      <c r="A1781" s="650"/>
      <c r="B1781" s="52"/>
      <c r="C1781" s="52"/>
      <c r="D1781" s="60"/>
      <c r="E1781" s="42" t="s">
        <v>1347</v>
      </c>
      <c r="F1781" s="49"/>
      <c r="G1781" s="49"/>
      <c r="H1781" s="49"/>
      <c r="I1781" s="49"/>
      <c r="J1781" s="49"/>
      <c r="K1781" s="49"/>
      <c r="L1781" s="49"/>
      <c r="M1781" s="49"/>
      <c r="N1781" s="49"/>
      <c r="O1781" s="59"/>
      <c r="P1781" s="1417">
        <f>'5.LO'!E307</f>
        <v>0</v>
      </c>
      <c r="Q1781" s="1418"/>
      <c r="R1781" s="1418"/>
      <c r="S1781" s="1418"/>
      <c r="T1781" s="1418"/>
      <c r="U1781" s="1419"/>
      <c r="V1781" s="39"/>
      <c r="W1781" s="130"/>
      <c r="X1781" s="130"/>
      <c r="Y1781" s="130"/>
      <c r="Z1781" s="130"/>
      <c r="AA1781" s="130"/>
      <c r="AB1781" s="130"/>
      <c r="AC1781" s="130"/>
      <c r="AD1781" s="130"/>
      <c r="AE1781" s="130"/>
    </row>
    <row r="1782" spans="1:31" s="141" customFormat="1" ht="14.25" customHeight="1">
      <c r="A1782" s="650"/>
      <c r="B1782" s="52"/>
      <c r="C1782" s="52"/>
      <c r="D1782" s="60"/>
      <c r="E1782" s="42" t="s">
        <v>1070</v>
      </c>
      <c r="F1782" s="49"/>
      <c r="G1782" s="49"/>
      <c r="H1782" s="49"/>
      <c r="I1782" s="49"/>
      <c r="J1782" s="49"/>
      <c r="K1782" s="49"/>
      <c r="L1782" s="49"/>
      <c r="M1782" s="49"/>
      <c r="N1782" s="49"/>
      <c r="O1782" s="59"/>
      <c r="P1782" s="1417">
        <f>'5.LO'!E308</f>
        <v>0</v>
      </c>
      <c r="Q1782" s="1418"/>
      <c r="R1782" s="1418"/>
      <c r="S1782" s="1418"/>
      <c r="T1782" s="1418"/>
      <c r="U1782" s="1419"/>
      <c r="V1782" s="39"/>
      <c r="W1782" s="130"/>
      <c r="X1782" s="130"/>
      <c r="Y1782" s="130"/>
      <c r="Z1782" s="130"/>
      <c r="AA1782" s="130"/>
      <c r="AB1782" s="130"/>
      <c r="AC1782" s="130"/>
      <c r="AD1782" s="130"/>
      <c r="AE1782" s="130"/>
    </row>
    <row r="1783" spans="1:31" s="141" customFormat="1" ht="14.25" customHeight="1">
      <c r="A1783" s="650"/>
      <c r="B1783" s="52"/>
      <c r="C1783" s="52"/>
      <c r="D1783" s="50" t="s">
        <v>1348</v>
      </c>
      <c r="E1783" s="41"/>
      <c r="F1783" s="49"/>
      <c r="G1783" s="49"/>
      <c r="H1783" s="49"/>
      <c r="I1783" s="49"/>
      <c r="J1783" s="49"/>
      <c r="K1783" s="49"/>
      <c r="L1783" s="49"/>
      <c r="M1783" s="49"/>
      <c r="N1783" s="49"/>
      <c r="O1783" s="59"/>
      <c r="P1783" s="1429">
        <f>SUM(P1784:U1794)</f>
        <v>0</v>
      </c>
      <c r="Q1783" s="1430"/>
      <c r="R1783" s="1430"/>
      <c r="S1783" s="1430"/>
      <c r="T1783" s="1430"/>
      <c r="U1783" s="1431"/>
      <c r="V1783" s="39"/>
      <c r="W1783" s="130"/>
      <c r="X1783" s="130"/>
      <c r="Y1783" s="130"/>
      <c r="Z1783" s="130"/>
      <c r="AA1783" s="130"/>
      <c r="AB1783" s="130"/>
      <c r="AC1783" s="130"/>
      <c r="AD1783" s="130"/>
      <c r="AE1783" s="130"/>
    </row>
    <row r="1784" spans="1:31" s="141" customFormat="1" ht="14.25" customHeight="1">
      <c r="A1784" s="650"/>
      <c r="B1784" s="52"/>
      <c r="C1784" s="52"/>
      <c r="D1784" s="60"/>
      <c r="E1784" s="42" t="s">
        <v>1349</v>
      </c>
      <c r="F1784" s="49"/>
      <c r="G1784" s="49"/>
      <c r="H1784" s="49"/>
      <c r="I1784" s="49"/>
      <c r="J1784" s="49"/>
      <c r="K1784" s="49"/>
      <c r="L1784" s="49"/>
      <c r="M1784" s="49"/>
      <c r="N1784" s="49"/>
      <c r="O1784" s="59"/>
      <c r="P1784" s="1417">
        <f>'5.LO'!E310</f>
        <v>0</v>
      </c>
      <c r="Q1784" s="1418"/>
      <c r="R1784" s="1418"/>
      <c r="S1784" s="1418"/>
      <c r="T1784" s="1418"/>
      <c r="U1784" s="1419"/>
      <c r="V1784" s="39"/>
      <c r="W1784" s="130"/>
      <c r="X1784" s="130"/>
      <c r="Y1784" s="130"/>
      <c r="Z1784" s="130"/>
      <c r="AA1784" s="130"/>
      <c r="AB1784" s="130"/>
      <c r="AC1784" s="130"/>
      <c r="AD1784" s="130"/>
      <c r="AE1784" s="130"/>
    </row>
    <row r="1785" spans="1:31" s="141" customFormat="1" ht="14.25" customHeight="1">
      <c r="A1785" s="650"/>
      <c r="B1785" s="52"/>
      <c r="C1785" s="52"/>
      <c r="D1785" s="60"/>
      <c r="E1785" s="42" t="s">
        <v>1350</v>
      </c>
      <c r="F1785" s="49"/>
      <c r="G1785" s="49"/>
      <c r="H1785" s="49"/>
      <c r="I1785" s="49"/>
      <c r="J1785" s="49"/>
      <c r="K1785" s="49"/>
      <c r="L1785" s="49"/>
      <c r="M1785" s="49"/>
      <c r="N1785" s="49"/>
      <c r="O1785" s="59"/>
      <c r="P1785" s="1417">
        <f>'5.LO'!E311</f>
        <v>0</v>
      </c>
      <c r="Q1785" s="1418"/>
      <c r="R1785" s="1418"/>
      <c r="S1785" s="1418"/>
      <c r="T1785" s="1418"/>
      <c r="U1785" s="1419"/>
      <c r="V1785" s="39"/>
      <c r="W1785" s="130"/>
      <c r="X1785" s="130"/>
      <c r="Y1785" s="130"/>
      <c r="Z1785" s="130"/>
      <c r="AA1785" s="130"/>
      <c r="AB1785" s="130"/>
      <c r="AC1785" s="130"/>
      <c r="AD1785" s="130"/>
      <c r="AE1785" s="130"/>
    </row>
    <row r="1786" spans="1:31" s="141" customFormat="1" ht="14.25" customHeight="1">
      <c r="A1786" s="650"/>
      <c r="B1786" s="52"/>
      <c r="C1786" s="52"/>
      <c r="D1786" s="60"/>
      <c r="E1786" s="42" t="s">
        <v>1351</v>
      </c>
      <c r="F1786" s="49"/>
      <c r="G1786" s="49"/>
      <c r="H1786" s="49"/>
      <c r="I1786" s="49"/>
      <c r="J1786" s="49"/>
      <c r="K1786" s="49"/>
      <c r="L1786" s="49"/>
      <c r="M1786" s="49"/>
      <c r="N1786" s="49"/>
      <c r="O1786" s="59"/>
      <c r="P1786" s="1417">
        <f>'5.LO'!E312</f>
        <v>0</v>
      </c>
      <c r="Q1786" s="1418"/>
      <c r="R1786" s="1418"/>
      <c r="S1786" s="1418"/>
      <c r="T1786" s="1418"/>
      <c r="U1786" s="1419"/>
      <c r="V1786" s="39"/>
      <c r="W1786" s="130"/>
      <c r="X1786" s="130"/>
      <c r="Y1786" s="130"/>
      <c r="Z1786" s="130"/>
      <c r="AA1786" s="130"/>
      <c r="AB1786" s="130"/>
      <c r="AC1786" s="130"/>
      <c r="AD1786" s="130"/>
      <c r="AE1786" s="130"/>
    </row>
    <row r="1787" spans="1:31" s="141" customFormat="1" ht="14.25" customHeight="1">
      <c r="A1787" s="650"/>
      <c r="B1787" s="52"/>
      <c r="C1787" s="52"/>
      <c r="D1787" s="60"/>
      <c r="E1787" s="42" t="s">
        <v>1352</v>
      </c>
      <c r="F1787" s="49"/>
      <c r="G1787" s="49"/>
      <c r="H1787" s="49"/>
      <c r="I1787" s="49"/>
      <c r="J1787" s="49"/>
      <c r="K1787" s="49"/>
      <c r="L1787" s="49"/>
      <c r="M1787" s="49"/>
      <c r="N1787" s="49"/>
      <c r="O1787" s="59"/>
      <c r="P1787" s="1417">
        <f>'5.LO'!E313</f>
        <v>0</v>
      </c>
      <c r="Q1787" s="1418"/>
      <c r="R1787" s="1418"/>
      <c r="S1787" s="1418"/>
      <c r="T1787" s="1418"/>
      <c r="U1787" s="1419"/>
      <c r="V1787" s="39"/>
      <c r="W1787" s="130"/>
      <c r="X1787" s="130"/>
      <c r="Y1787" s="130"/>
      <c r="Z1787" s="130"/>
      <c r="AA1787" s="130"/>
      <c r="AB1787" s="130"/>
      <c r="AC1787" s="130"/>
      <c r="AD1787" s="130"/>
      <c r="AE1787" s="130"/>
    </row>
    <row r="1788" spans="1:31" s="141" customFormat="1" ht="14.25" customHeight="1">
      <c r="A1788" s="650"/>
      <c r="B1788" s="52"/>
      <c r="C1788" s="52"/>
      <c r="D1788" s="60"/>
      <c r="E1788" s="42" t="s">
        <v>1353</v>
      </c>
      <c r="F1788" s="49"/>
      <c r="G1788" s="49"/>
      <c r="H1788" s="49"/>
      <c r="I1788" s="49"/>
      <c r="J1788" s="49"/>
      <c r="K1788" s="49"/>
      <c r="L1788" s="49"/>
      <c r="M1788" s="49"/>
      <c r="N1788" s="49"/>
      <c r="O1788" s="59"/>
      <c r="P1788" s="1417">
        <f>'5.LO'!E314</f>
        <v>0</v>
      </c>
      <c r="Q1788" s="1418"/>
      <c r="R1788" s="1418"/>
      <c r="S1788" s="1418"/>
      <c r="T1788" s="1418"/>
      <c r="U1788" s="1419"/>
      <c r="V1788" s="39"/>
      <c r="W1788" s="130"/>
      <c r="X1788" s="130"/>
      <c r="Y1788" s="130"/>
      <c r="Z1788" s="130"/>
      <c r="AA1788" s="130"/>
      <c r="AB1788" s="130"/>
      <c r="AC1788" s="130"/>
      <c r="AD1788" s="130"/>
      <c r="AE1788" s="130"/>
    </row>
    <row r="1789" spans="1:31" s="141" customFormat="1" ht="14.25" customHeight="1">
      <c r="A1789" s="650"/>
      <c r="B1789" s="52"/>
      <c r="C1789" s="52"/>
      <c r="D1789" s="60"/>
      <c r="E1789" s="42" t="s">
        <v>1354</v>
      </c>
      <c r="F1789" s="49"/>
      <c r="G1789" s="49"/>
      <c r="H1789" s="49"/>
      <c r="I1789" s="49"/>
      <c r="J1789" s="49"/>
      <c r="K1789" s="49"/>
      <c r="L1789" s="49"/>
      <c r="M1789" s="49"/>
      <c r="N1789" s="49"/>
      <c r="O1789" s="59"/>
      <c r="P1789" s="1417">
        <f>'5.LO'!E315</f>
        <v>0</v>
      </c>
      <c r="Q1789" s="1418"/>
      <c r="R1789" s="1418"/>
      <c r="S1789" s="1418"/>
      <c r="T1789" s="1418"/>
      <c r="U1789" s="1419"/>
      <c r="V1789" s="39"/>
      <c r="W1789" s="130"/>
      <c r="X1789" s="130"/>
      <c r="Y1789" s="130"/>
      <c r="Z1789" s="130"/>
      <c r="AA1789" s="130"/>
      <c r="AB1789" s="130"/>
      <c r="AC1789" s="130"/>
      <c r="AD1789" s="130"/>
      <c r="AE1789" s="130"/>
    </row>
    <row r="1790" spans="1:31" s="141" customFormat="1" ht="14.25" customHeight="1">
      <c r="A1790" s="650"/>
      <c r="B1790" s="52"/>
      <c r="C1790" s="52"/>
      <c r="D1790" s="60"/>
      <c r="E1790" s="42" t="s">
        <v>1355</v>
      </c>
      <c r="F1790" s="49"/>
      <c r="G1790" s="49"/>
      <c r="H1790" s="49"/>
      <c r="I1790" s="49"/>
      <c r="J1790" s="49"/>
      <c r="K1790" s="49"/>
      <c r="L1790" s="49"/>
      <c r="M1790" s="49"/>
      <c r="N1790" s="49"/>
      <c r="O1790" s="59"/>
      <c r="P1790" s="1417">
        <f>'5.LO'!E316</f>
        <v>0</v>
      </c>
      <c r="Q1790" s="1418"/>
      <c r="R1790" s="1418"/>
      <c r="S1790" s="1418"/>
      <c r="T1790" s="1418"/>
      <c r="U1790" s="1419"/>
      <c r="V1790" s="39"/>
      <c r="W1790" s="130"/>
      <c r="X1790" s="130"/>
      <c r="Y1790" s="130"/>
      <c r="Z1790" s="130"/>
      <c r="AA1790" s="130"/>
      <c r="AB1790" s="130"/>
      <c r="AC1790" s="130"/>
      <c r="AD1790" s="130"/>
      <c r="AE1790" s="130"/>
    </row>
    <row r="1791" spans="1:31" s="141" customFormat="1" ht="14.25" customHeight="1">
      <c r="A1791" s="650"/>
      <c r="B1791" s="52"/>
      <c r="C1791" s="52"/>
      <c r="D1791" s="60"/>
      <c r="E1791" s="42" t="s">
        <v>1356</v>
      </c>
      <c r="F1791" s="49"/>
      <c r="G1791" s="49"/>
      <c r="H1791" s="49"/>
      <c r="I1791" s="49"/>
      <c r="J1791" s="49"/>
      <c r="K1791" s="49"/>
      <c r="L1791" s="49"/>
      <c r="M1791" s="49"/>
      <c r="N1791" s="49"/>
      <c r="O1791" s="59"/>
      <c r="P1791" s="1417">
        <f>'5.LO'!E317</f>
        <v>0</v>
      </c>
      <c r="Q1791" s="1418"/>
      <c r="R1791" s="1418"/>
      <c r="S1791" s="1418"/>
      <c r="T1791" s="1418"/>
      <c r="U1791" s="1419"/>
      <c r="V1791" s="39"/>
      <c r="W1791" s="130"/>
      <c r="X1791" s="130"/>
      <c r="Y1791" s="130"/>
      <c r="Z1791" s="130"/>
      <c r="AA1791" s="130"/>
      <c r="AB1791" s="130"/>
      <c r="AC1791" s="130"/>
      <c r="AD1791" s="130"/>
      <c r="AE1791" s="130"/>
    </row>
    <row r="1792" spans="1:31" s="141" customFormat="1" ht="14.25" customHeight="1">
      <c r="A1792" s="650"/>
      <c r="B1792" s="52"/>
      <c r="C1792" s="52"/>
      <c r="D1792" s="60"/>
      <c r="E1792" s="42" t="s">
        <v>1357</v>
      </c>
      <c r="F1792" s="49"/>
      <c r="G1792" s="49"/>
      <c r="H1792" s="49"/>
      <c r="I1792" s="49"/>
      <c r="J1792" s="49"/>
      <c r="K1792" s="49"/>
      <c r="L1792" s="49"/>
      <c r="M1792" s="49"/>
      <c r="N1792" s="49"/>
      <c r="O1792" s="59"/>
      <c r="P1792" s="1417">
        <f>'5.LO'!E318</f>
        <v>0</v>
      </c>
      <c r="Q1792" s="1418"/>
      <c r="R1792" s="1418"/>
      <c r="S1792" s="1418"/>
      <c r="T1792" s="1418"/>
      <c r="U1792" s="1419"/>
      <c r="V1792" s="39"/>
      <c r="W1792" s="130"/>
      <c r="X1792" s="130"/>
      <c r="Y1792" s="130"/>
      <c r="Z1792" s="130"/>
      <c r="AA1792" s="130"/>
      <c r="AB1792" s="130"/>
      <c r="AC1792" s="130"/>
      <c r="AD1792" s="130"/>
      <c r="AE1792" s="130"/>
    </row>
    <row r="1793" spans="1:31" s="141" customFormat="1" ht="22.5" customHeight="1">
      <c r="A1793" s="650"/>
      <c r="B1793" s="52"/>
      <c r="C1793" s="52"/>
      <c r="D1793" s="60"/>
      <c r="E1793" s="42" t="s">
        <v>1358</v>
      </c>
      <c r="F1793" s="49"/>
      <c r="G1793" s="49"/>
      <c r="H1793" s="49"/>
      <c r="I1793" s="49"/>
      <c r="J1793" s="49"/>
      <c r="K1793" s="49"/>
      <c r="L1793" s="49"/>
      <c r="M1793" s="49"/>
      <c r="N1793" s="49"/>
      <c r="O1793" s="59"/>
      <c r="P1793" s="1417">
        <f>'5.LO'!E319</f>
        <v>0</v>
      </c>
      <c r="Q1793" s="1418"/>
      <c r="R1793" s="1418"/>
      <c r="S1793" s="1418"/>
      <c r="T1793" s="1418"/>
      <c r="U1793" s="1419"/>
      <c r="V1793" s="39"/>
      <c r="W1793" s="130"/>
      <c r="X1793" s="130"/>
      <c r="Y1793" s="130"/>
      <c r="Z1793" s="130"/>
      <c r="AA1793" s="130"/>
      <c r="AB1793" s="130"/>
      <c r="AC1793" s="130"/>
      <c r="AD1793" s="130"/>
      <c r="AE1793" s="130"/>
    </row>
    <row r="1794" spans="1:31" s="141" customFormat="1" ht="14.25" customHeight="1">
      <c r="A1794" s="650"/>
      <c r="B1794" s="52"/>
      <c r="C1794" s="52"/>
      <c r="D1794" s="60"/>
      <c r="E1794" s="42" t="s">
        <v>1359</v>
      </c>
      <c r="F1794" s="49"/>
      <c r="G1794" s="49"/>
      <c r="H1794" s="49"/>
      <c r="I1794" s="49"/>
      <c r="J1794" s="49"/>
      <c r="K1794" s="49"/>
      <c r="L1794" s="49"/>
      <c r="M1794" s="49"/>
      <c r="N1794" s="49"/>
      <c r="O1794" s="59"/>
      <c r="P1794" s="1417">
        <f>'5.LO'!E320</f>
        <v>0</v>
      </c>
      <c r="Q1794" s="1418"/>
      <c r="R1794" s="1418"/>
      <c r="S1794" s="1418"/>
      <c r="T1794" s="1418"/>
      <c r="U1794" s="1419"/>
      <c r="V1794" s="39"/>
      <c r="W1794" s="130"/>
      <c r="X1794" s="130"/>
      <c r="Y1794" s="130"/>
      <c r="Z1794" s="130"/>
      <c r="AA1794" s="130"/>
      <c r="AB1794" s="130"/>
      <c r="AC1794" s="130"/>
      <c r="AD1794" s="130"/>
      <c r="AE1794" s="130"/>
    </row>
    <row r="1795" spans="1:31" s="141" customFormat="1" ht="14.25" customHeight="1">
      <c r="A1795" s="650"/>
      <c r="B1795" s="52"/>
      <c r="C1795" s="52"/>
      <c r="D1795" s="50" t="s">
        <v>1360</v>
      </c>
      <c r="E1795" s="41"/>
      <c r="F1795" s="49"/>
      <c r="G1795" s="49"/>
      <c r="H1795" s="49"/>
      <c r="I1795" s="49"/>
      <c r="J1795" s="49"/>
      <c r="K1795" s="49"/>
      <c r="L1795" s="49"/>
      <c r="M1795" s="49"/>
      <c r="N1795" s="49"/>
      <c r="O1795" s="59"/>
      <c r="P1795" s="1429">
        <f>SUM(P1796:U1801)</f>
        <v>0</v>
      </c>
      <c r="Q1795" s="1430"/>
      <c r="R1795" s="1430"/>
      <c r="S1795" s="1430"/>
      <c r="T1795" s="1430"/>
      <c r="U1795" s="1431"/>
      <c r="V1795" s="39"/>
      <c r="W1795" s="130"/>
      <c r="X1795" s="130"/>
      <c r="Y1795" s="130"/>
      <c r="Z1795" s="130"/>
      <c r="AA1795" s="130"/>
      <c r="AB1795" s="130"/>
      <c r="AC1795" s="130"/>
      <c r="AD1795" s="130"/>
      <c r="AE1795" s="130"/>
    </row>
    <row r="1796" spans="1:31" s="141" customFormat="1" ht="14.25" customHeight="1">
      <c r="A1796" s="650"/>
      <c r="B1796" s="52"/>
      <c r="C1796" s="52"/>
      <c r="D1796" s="60"/>
      <c r="E1796" s="42" t="s">
        <v>1361</v>
      </c>
      <c r="F1796" s="49"/>
      <c r="G1796" s="49"/>
      <c r="H1796" s="49"/>
      <c r="I1796" s="49"/>
      <c r="J1796" s="49"/>
      <c r="K1796" s="49"/>
      <c r="L1796" s="49"/>
      <c r="M1796" s="49"/>
      <c r="N1796" s="49"/>
      <c r="O1796" s="59"/>
      <c r="P1796" s="1417">
        <f>'5.LO'!E322</f>
        <v>0</v>
      </c>
      <c r="Q1796" s="1418"/>
      <c r="R1796" s="1418"/>
      <c r="S1796" s="1418"/>
      <c r="T1796" s="1418"/>
      <c r="U1796" s="1419"/>
      <c r="V1796" s="39"/>
      <c r="W1796" s="130"/>
      <c r="X1796" s="130"/>
      <c r="Y1796" s="130"/>
      <c r="Z1796" s="130"/>
      <c r="AA1796" s="130"/>
      <c r="AB1796" s="130"/>
      <c r="AC1796" s="130"/>
      <c r="AD1796" s="130"/>
      <c r="AE1796" s="130"/>
    </row>
    <row r="1797" spans="1:31" s="141" customFormat="1" ht="14.25" customHeight="1">
      <c r="A1797" s="650"/>
      <c r="B1797" s="52"/>
      <c r="C1797" s="52"/>
      <c r="D1797" s="60"/>
      <c r="E1797" s="42" t="s">
        <v>1362</v>
      </c>
      <c r="F1797" s="49"/>
      <c r="G1797" s="49"/>
      <c r="H1797" s="49"/>
      <c r="I1797" s="49"/>
      <c r="J1797" s="49"/>
      <c r="K1797" s="49"/>
      <c r="L1797" s="49"/>
      <c r="M1797" s="49"/>
      <c r="N1797" s="49"/>
      <c r="O1797" s="59"/>
      <c r="P1797" s="1417">
        <f>'5.LO'!E323</f>
        <v>0</v>
      </c>
      <c r="Q1797" s="1418"/>
      <c r="R1797" s="1418"/>
      <c r="S1797" s="1418"/>
      <c r="T1797" s="1418"/>
      <c r="U1797" s="1419"/>
      <c r="V1797" s="39"/>
      <c r="W1797" s="130"/>
      <c r="X1797" s="130"/>
      <c r="Y1797" s="130"/>
      <c r="Z1797" s="130"/>
      <c r="AA1797" s="130"/>
      <c r="AB1797" s="130"/>
      <c r="AC1797" s="130"/>
      <c r="AD1797" s="130"/>
      <c r="AE1797" s="130"/>
    </row>
    <row r="1798" spans="1:31" s="141" customFormat="1" ht="14.25" customHeight="1">
      <c r="A1798" s="650"/>
      <c r="B1798" s="52"/>
      <c r="C1798" s="52"/>
      <c r="D1798" s="60"/>
      <c r="E1798" s="42" t="s">
        <v>1363</v>
      </c>
      <c r="F1798" s="49"/>
      <c r="G1798" s="49"/>
      <c r="H1798" s="49"/>
      <c r="I1798" s="49"/>
      <c r="J1798" s="49"/>
      <c r="K1798" s="49"/>
      <c r="L1798" s="49"/>
      <c r="M1798" s="49"/>
      <c r="N1798" s="49"/>
      <c r="O1798" s="59"/>
      <c r="P1798" s="1417">
        <f>'5.LO'!E324</f>
        <v>0</v>
      </c>
      <c r="Q1798" s="1418"/>
      <c r="R1798" s="1418"/>
      <c r="S1798" s="1418"/>
      <c r="T1798" s="1418"/>
      <c r="U1798" s="1419"/>
      <c r="V1798" s="39"/>
      <c r="W1798" s="130"/>
      <c r="X1798" s="130"/>
      <c r="Y1798" s="130"/>
      <c r="Z1798" s="130"/>
      <c r="AA1798" s="130"/>
      <c r="AB1798" s="130"/>
      <c r="AC1798" s="130"/>
      <c r="AD1798" s="130"/>
      <c r="AE1798" s="130"/>
    </row>
    <row r="1799" spans="1:31" s="141" customFormat="1" ht="14.25" customHeight="1">
      <c r="A1799" s="650"/>
      <c r="B1799" s="52"/>
      <c r="C1799" s="52"/>
      <c r="D1799" s="60"/>
      <c r="E1799" s="42" t="s">
        <v>1364</v>
      </c>
      <c r="F1799" s="49"/>
      <c r="G1799" s="49"/>
      <c r="H1799" s="49"/>
      <c r="I1799" s="49"/>
      <c r="J1799" s="49"/>
      <c r="K1799" s="49"/>
      <c r="L1799" s="49"/>
      <c r="M1799" s="49"/>
      <c r="N1799" s="49"/>
      <c r="O1799" s="59"/>
      <c r="P1799" s="1417">
        <f>'5.LO'!E325</f>
        <v>0</v>
      </c>
      <c r="Q1799" s="1418"/>
      <c r="R1799" s="1418"/>
      <c r="S1799" s="1418"/>
      <c r="T1799" s="1418"/>
      <c r="U1799" s="1419"/>
      <c r="V1799" s="39"/>
      <c r="W1799" s="130"/>
      <c r="X1799" s="130"/>
      <c r="Y1799" s="130"/>
      <c r="Z1799" s="130"/>
      <c r="AA1799" s="130"/>
      <c r="AB1799" s="130"/>
      <c r="AC1799" s="130"/>
      <c r="AD1799" s="130"/>
      <c r="AE1799" s="130"/>
    </row>
    <row r="1800" spans="1:31" s="141" customFormat="1" ht="14.25" customHeight="1">
      <c r="A1800" s="650"/>
      <c r="B1800" s="52"/>
      <c r="C1800" s="52"/>
      <c r="D1800" s="60"/>
      <c r="E1800" s="42" t="s">
        <v>1365</v>
      </c>
      <c r="F1800" s="49"/>
      <c r="G1800" s="49"/>
      <c r="H1800" s="49"/>
      <c r="I1800" s="49"/>
      <c r="J1800" s="49"/>
      <c r="K1800" s="49"/>
      <c r="L1800" s="49"/>
      <c r="M1800" s="49"/>
      <c r="N1800" s="49"/>
      <c r="O1800" s="59"/>
      <c r="P1800" s="1417">
        <f>'5.LO'!E326</f>
        <v>0</v>
      </c>
      <c r="Q1800" s="1418"/>
      <c r="R1800" s="1418"/>
      <c r="S1800" s="1418"/>
      <c r="T1800" s="1418"/>
      <c r="U1800" s="1419"/>
      <c r="V1800" s="39"/>
      <c r="W1800" s="130"/>
      <c r="X1800" s="130"/>
      <c r="Y1800" s="130"/>
      <c r="Z1800" s="130"/>
      <c r="AA1800" s="130"/>
      <c r="AB1800" s="130"/>
      <c r="AC1800" s="130"/>
      <c r="AD1800" s="130"/>
      <c r="AE1800" s="130"/>
    </row>
    <row r="1801" spans="1:31" s="141" customFormat="1" ht="14.25" customHeight="1">
      <c r="A1801" s="650"/>
      <c r="B1801" s="52"/>
      <c r="C1801" s="52"/>
      <c r="D1801" s="60"/>
      <c r="E1801" s="42" t="s">
        <v>1366</v>
      </c>
      <c r="F1801" s="49"/>
      <c r="G1801" s="49"/>
      <c r="H1801" s="49"/>
      <c r="I1801" s="49"/>
      <c r="J1801" s="49"/>
      <c r="K1801" s="49"/>
      <c r="L1801" s="49"/>
      <c r="M1801" s="49"/>
      <c r="N1801" s="49"/>
      <c r="O1801" s="59"/>
      <c r="P1801" s="1417">
        <f>'5.LO'!E327</f>
        <v>0</v>
      </c>
      <c r="Q1801" s="1418"/>
      <c r="R1801" s="1418"/>
      <c r="S1801" s="1418"/>
      <c r="T1801" s="1418"/>
      <c r="U1801" s="1419"/>
      <c r="V1801" s="39"/>
      <c r="W1801" s="130"/>
      <c r="X1801" s="130"/>
      <c r="Y1801" s="130"/>
      <c r="Z1801" s="130"/>
      <c r="AA1801" s="130"/>
      <c r="AB1801" s="130"/>
      <c r="AC1801" s="130"/>
      <c r="AD1801" s="130"/>
      <c r="AE1801" s="130"/>
    </row>
    <row r="1802" spans="1:31" s="141" customFormat="1" ht="14.25" customHeight="1">
      <c r="A1802" s="650"/>
      <c r="B1802" s="52"/>
      <c r="C1802" s="52"/>
      <c r="D1802" s="50" t="s">
        <v>1367</v>
      </c>
      <c r="E1802" s="41"/>
      <c r="F1802" s="49"/>
      <c r="G1802" s="49"/>
      <c r="H1802" s="49"/>
      <c r="I1802" s="49"/>
      <c r="J1802" s="49"/>
      <c r="K1802" s="49"/>
      <c r="L1802" s="49"/>
      <c r="M1802" s="49"/>
      <c r="N1802" s="49"/>
      <c r="O1802" s="59"/>
      <c r="P1802" s="1429">
        <f>SUM(P1803:U1808)</f>
        <v>0</v>
      </c>
      <c r="Q1802" s="1430"/>
      <c r="R1802" s="1430"/>
      <c r="S1802" s="1430"/>
      <c r="T1802" s="1430"/>
      <c r="U1802" s="1431"/>
      <c r="V1802" s="39"/>
      <c r="W1802" s="130"/>
      <c r="X1802" s="130"/>
      <c r="Y1802" s="130"/>
      <c r="Z1802" s="130"/>
      <c r="AA1802" s="130"/>
      <c r="AB1802" s="130"/>
      <c r="AC1802" s="130"/>
      <c r="AD1802" s="130"/>
      <c r="AE1802" s="130"/>
    </row>
    <row r="1803" spans="1:31" s="141" customFormat="1" ht="14.25" customHeight="1">
      <c r="A1803" s="650"/>
      <c r="B1803" s="52"/>
      <c r="C1803" s="52"/>
      <c r="D1803" s="60"/>
      <c r="E1803" s="42" t="s">
        <v>1368</v>
      </c>
      <c r="F1803" s="49"/>
      <c r="G1803" s="49"/>
      <c r="H1803" s="49"/>
      <c r="I1803" s="49"/>
      <c r="J1803" s="49"/>
      <c r="K1803" s="49"/>
      <c r="L1803" s="49"/>
      <c r="M1803" s="49"/>
      <c r="N1803" s="49"/>
      <c r="O1803" s="59"/>
      <c r="P1803" s="1417">
        <f>'5.LO'!E329</f>
        <v>0</v>
      </c>
      <c r="Q1803" s="1418"/>
      <c r="R1803" s="1418"/>
      <c r="S1803" s="1418"/>
      <c r="T1803" s="1418"/>
      <c r="U1803" s="1419"/>
      <c r="V1803" s="39"/>
      <c r="W1803" s="130"/>
      <c r="X1803" s="130"/>
      <c r="Y1803" s="130"/>
      <c r="Z1803" s="130"/>
      <c r="AA1803" s="130"/>
      <c r="AB1803" s="130"/>
      <c r="AC1803" s="130"/>
      <c r="AD1803" s="130"/>
      <c r="AE1803" s="130"/>
    </row>
    <row r="1804" spans="1:31" s="141" customFormat="1" ht="14.25" customHeight="1">
      <c r="A1804" s="650"/>
      <c r="B1804" s="52"/>
      <c r="C1804" s="52"/>
      <c r="D1804" s="60"/>
      <c r="E1804" s="42" t="s">
        <v>1369</v>
      </c>
      <c r="F1804" s="49"/>
      <c r="G1804" s="49"/>
      <c r="H1804" s="49"/>
      <c r="I1804" s="49"/>
      <c r="J1804" s="49"/>
      <c r="K1804" s="49"/>
      <c r="L1804" s="49"/>
      <c r="M1804" s="49"/>
      <c r="N1804" s="49"/>
      <c r="O1804" s="59"/>
      <c r="P1804" s="1417">
        <f>'5.LO'!E330</f>
        <v>0</v>
      </c>
      <c r="Q1804" s="1418"/>
      <c r="R1804" s="1418"/>
      <c r="S1804" s="1418"/>
      <c r="T1804" s="1418"/>
      <c r="U1804" s="1419"/>
      <c r="V1804" s="39"/>
      <c r="W1804" s="130"/>
      <c r="X1804" s="130"/>
      <c r="Y1804" s="130"/>
      <c r="Z1804" s="130"/>
      <c r="AA1804" s="130"/>
      <c r="AB1804" s="130"/>
      <c r="AC1804" s="130"/>
      <c r="AD1804" s="130"/>
      <c r="AE1804" s="130"/>
    </row>
    <row r="1805" spans="1:31" s="141" customFormat="1" ht="14.25" customHeight="1">
      <c r="A1805" s="650"/>
      <c r="B1805" s="52"/>
      <c r="C1805" s="52"/>
      <c r="D1805" s="60"/>
      <c r="E1805" s="42" t="s">
        <v>1370</v>
      </c>
      <c r="F1805" s="49"/>
      <c r="G1805" s="49"/>
      <c r="H1805" s="49"/>
      <c r="I1805" s="49"/>
      <c r="J1805" s="49"/>
      <c r="K1805" s="49"/>
      <c r="L1805" s="49"/>
      <c r="M1805" s="49"/>
      <c r="N1805" s="49"/>
      <c r="O1805" s="59"/>
      <c r="P1805" s="1417">
        <f>'5.LO'!E331</f>
        <v>0</v>
      </c>
      <c r="Q1805" s="1418"/>
      <c r="R1805" s="1418"/>
      <c r="S1805" s="1418"/>
      <c r="T1805" s="1418"/>
      <c r="U1805" s="1419"/>
      <c r="V1805" s="39"/>
      <c r="W1805" s="130"/>
      <c r="X1805" s="130"/>
      <c r="Y1805" s="130"/>
      <c r="Z1805" s="130"/>
      <c r="AA1805" s="130"/>
      <c r="AB1805" s="130"/>
      <c r="AC1805" s="130"/>
      <c r="AD1805" s="130"/>
      <c r="AE1805" s="130"/>
    </row>
    <row r="1806" spans="1:31" s="141" customFormat="1" ht="14.25" customHeight="1">
      <c r="A1806" s="650"/>
      <c r="B1806" s="52"/>
      <c r="C1806" s="52"/>
      <c r="D1806" s="60"/>
      <c r="E1806" s="42" t="s">
        <v>1371</v>
      </c>
      <c r="F1806" s="49"/>
      <c r="G1806" s="49"/>
      <c r="H1806" s="49"/>
      <c r="I1806" s="49"/>
      <c r="J1806" s="49"/>
      <c r="K1806" s="49"/>
      <c r="L1806" s="49"/>
      <c r="M1806" s="49"/>
      <c r="N1806" s="49"/>
      <c r="O1806" s="59"/>
      <c r="P1806" s="1417">
        <f>'5.LO'!E332</f>
        <v>0</v>
      </c>
      <c r="Q1806" s="1418"/>
      <c r="R1806" s="1418"/>
      <c r="S1806" s="1418"/>
      <c r="T1806" s="1418"/>
      <c r="U1806" s="1419"/>
      <c r="V1806" s="39"/>
      <c r="W1806" s="130"/>
      <c r="X1806" s="130"/>
      <c r="Y1806" s="130"/>
      <c r="Z1806" s="130"/>
      <c r="AA1806" s="130"/>
      <c r="AB1806" s="130"/>
      <c r="AC1806" s="130"/>
      <c r="AD1806" s="130"/>
      <c r="AE1806" s="130"/>
    </row>
    <row r="1807" spans="1:31" s="141" customFormat="1" ht="14.25" customHeight="1">
      <c r="A1807" s="650"/>
      <c r="B1807" s="52"/>
      <c r="C1807" s="52"/>
      <c r="D1807" s="60"/>
      <c r="E1807" s="42" t="s">
        <v>1372</v>
      </c>
      <c r="F1807" s="49"/>
      <c r="G1807" s="49"/>
      <c r="H1807" s="49"/>
      <c r="I1807" s="49"/>
      <c r="J1807" s="49"/>
      <c r="K1807" s="49"/>
      <c r="L1807" s="49"/>
      <c r="M1807" s="49"/>
      <c r="N1807" s="49"/>
      <c r="O1807" s="59"/>
      <c r="P1807" s="1417">
        <f>'5.LO'!E333</f>
        <v>0</v>
      </c>
      <c r="Q1807" s="1418"/>
      <c r="R1807" s="1418"/>
      <c r="S1807" s="1418"/>
      <c r="T1807" s="1418"/>
      <c r="U1807" s="1419"/>
      <c r="V1807" s="39"/>
      <c r="W1807" s="130"/>
      <c r="X1807" s="130"/>
      <c r="Y1807" s="130"/>
      <c r="Z1807" s="130"/>
      <c r="AA1807" s="130"/>
      <c r="AB1807" s="130"/>
      <c r="AC1807" s="130"/>
      <c r="AD1807" s="130"/>
      <c r="AE1807" s="130"/>
    </row>
    <row r="1808" spans="1:31" s="141" customFormat="1" ht="14.25" customHeight="1">
      <c r="A1808" s="650"/>
      <c r="B1808" s="52"/>
      <c r="C1808" s="52"/>
      <c r="D1808" s="60"/>
      <c r="E1808" s="42" t="s">
        <v>1373</v>
      </c>
      <c r="F1808" s="49"/>
      <c r="G1808" s="49"/>
      <c r="H1808" s="49"/>
      <c r="I1808" s="49"/>
      <c r="J1808" s="49"/>
      <c r="K1808" s="49"/>
      <c r="L1808" s="49"/>
      <c r="M1808" s="49"/>
      <c r="N1808" s="49"/>
      <c r="O1808" s="59"/>
      <c r="P1808" s="1417">
        <f>'5.LO'!E334</f>
        <v>0</v>
      </c>
      <c r="Q1808" s="1418"/>
      <c r="R1808" s="1418"/>
      <c r="S1808" s="1418"/>
      <c r="T1808" s="1418"/>
      <c r="U1808" s="1419"/>
      <c r="V1808" s="39"/>
      <c r="W1808" s="130"/>
      <c r="X1808" s="130"/>
      <c r="Y1808" s="130"/>
      <c r="Z1808" s="130"/>
      <c r="AA1808" s="130"/>
      <c r="AB1808" s="130"/>
      <c r="AC1808" s="130"/>
      <c r="AD1808" s="130"/>
      <c r="AE1808" s="130"/>
    </row>
    <row r="1809" spans="1:31" s="141" customFormat="1" ht="14.25" customHeight="1">
      <c r="A1809" s="650"/>
      <c r="B1809" s="52"/>
      <c r="C1809" s="52"/>
      <c r="D1809" s="50" t="s">
        <v>1374</v>
      </c>
      <c r="E1809" s="41"/>
      <c r="F1809" s="49"/>
      <c r="G1809" s="49"/>
      <c r="H1809" s="49"/>
      <c r="I1809" s="49"/>
      <c r="J1809" s="49"/>
      <c r="K1809" s="49"/>
      <c r="L1809" s="49"/>
      <c r="M1809" s="49"/>
      <c r="N1809" s="49"/>
      <c r="O1809" s="59"/>
      <c r="P1809" s="1429">
        <f>P1810</f>
        <v>0</v>
      </c>
      <c r="Q1809" s="1430"/>
      <c r="R1809" s="1430"/>
      <c r="S1809" s="1430"/>
      <c r="T1809" s="1430"/>
      <c r="U1809" s="1431"/>
      <c r="V1809" s="39"/>
      <c r="W1809" s="130"/>
      <c r="X1809" s="130"/>
      <c r="Y1809" s="130"/>
      <c r="Z1809" s="130"/>
      <c r="AA1809" s="130"/>
      <c r="AB1809" s="130"/>
      <c r="AC1809" s="130"/>
      <c r="AD1809" s="130"/>
      <c r="AE1809" s="130"/>
    </row>
    <row r="1810" spans="1:31" s="141" customFormat="1" ht="14.25" customHeight="1">
      <c r="A1810" s="650"/>
      <c r="B1810" s="52"/>
      <c r="C1810" s="52"/>
      <c r="D1810" s="60"/>
      <c r="E1810" s="42" t="s">
        <v>1375</v>
      </c>
      <c r="F1810" s="49"/>
      <c r="G1810" s="49"/>
      <c r="H1810" s="49"/>
      <c r="I1810" s="49"/>
      <c r="J1810" s="49"/>
      <c r="K1810" s="49"/>
      <c r="L1810" s="49"/>
      <c r="M1810" s="49"/>
      <c r="N1810" s="49"/>
      <c r="O1810" s="59"/>
      <c r="P1810" s="1417">
        <f>'5.LO'!E336</f>
        <v>0</v>
      </c>
      <c r="Q1810" s="1418"/>
      <c r="R1810" s="1418"/>
      <c r="S1810" s="1418"/>
      <c r="T1810" s="1418"/>
      <c r="U1810" s="1419"/>
      <c r="V1810" s="39"/>
      <c r="W1810" s="130"/>
      <c r="X1810" s="130"/>
      <c r="Y1810" s="130"/>
      <c r="Z1810" s="130"/>
      <c r="AA1810" s="130"/>
      <c r="AB1810" s="130"/>
      <c r="AC1810" s="130"/>
      <c r="AD1810" s="130"/>
      <c r="AE1810" s="130"/>
    </row>
    <row r="1811" spans="1:31" s="141" customFormat="1" ht="14.25" customHeight="1">
      <c r="A1811" s="650"/>
      <c r="B1811" s="52"/>
      <c r="C1811" s="52"/>
      <c r="D1811" s="50" t="s">
        <v>1376</v>
      </c>
      <c r="E1811" s="41"/>
      <c r="F1811" s="49"/>
      <c r="G1811" s="49"/>
      <c r="H1811" s="49"/>
      <c r="I1811" s="49"/>
      <c r="J1811" s="49"/>
      <c r="K1811" s="49"/>
      <c r="L1811" s="49"/>
      <c r="M1811" s="49"/>
      <c r="N1811" s="49"/>
      <c r="O1811" s="59"/>
      <c r="P1811" s="1429">
        <f>SUM(P1812:U1818)</f>
        <v>0</v>
      </c>
      <c r="Q1811" s="1430"/>
      <c r="R1811" s="1430"/>
      <c r="S1811" s="1430"/>
      <c r="T1811" s="1430"/>
      <c r="U1811" s="1431"/>
      <c r="V1811" s="39"/>
      <c r="W1811" s="130"/>
      <c r="X1811" s="130"/>
      <c r="Y1811" s="130"/>
      <c r="Z1811" s="130"/>
      <c r="AA1811" s="130"/>
      <c r="AB1811" s="130"/>
      <c r="AC1811" s="130"/>
      <c r="AD1811" s="130"/>
      <c r="AE1811" s="130"/>
    </row>
    <row r="1812" spans="1:31" s="141" customFormat="1" ht="14.25" customHeight="1">
      <c r="A1812" s="650"/>
      <c r="B1812" s="52"/>
      <c r="C1812" s="52"/>
      <c r="D1812" s="60"/>
      <c r="E1812" s="42" t="s">
        <v>1377</v>
      </c>
      <c r="F1812" s="49"/>
      <c r="G1812" s="49"/>
      <c r="H1812" s="49"/>
      <c r="I1812" s="49"/>
      <c r="J1812" s="49"/>
      <c r="K1812" s="49"/>
      <c r="L1812" s="49"/>
      <c r="M1812" s="49"/>
      <c r="N1812" s="49"/>
      <c r="O1812" s="59"/>
      <c r="P1812" s="1417">
        <f>'5.LO'!E338</f>
        <v>0</v>
      </c>
      <c r="Q1812" s="1418"/>
      <c r="R1812" s="1418"/>
      <c r="S1812" s="1418"/>
      <c r="T1812" s="1418"/>
      <c r="U1812" s="1419"/>
      <c r="V1812" s="39"/>
      <c r="W1812" s="130"/>
      <c r="X1812" s="130"/>
      <c r="Y1812" s="130"/>
      <c r="Z1812" s="130"/>
      <c r="AA1812" s="130"/>
      <c r="AB1812" s="130"/>
      <c r="AC1812" s="130"/>
      <c r="AD1812" s="130"/>
      <c r="AE1812" s="130"/>
    </row>
    <row r="1813" spans="1:31" s="141" customFormat="1" ht="14.25" customHeight="1">
      <c r="A1813" s="650"/>
      <c r="B1813" s="52"/>
      <c r="C1813" s="52"/>
      <c r="D1813" s="60"/>
      <c r="E1813" s="42" t="s">
        <v>1378</v>
      </c>
      <c r="F1813" s="49"/>
      <c r="G1813" s="49"/>
      <c r="H1813" s="49"/>
      <c r="I1813" s="49"/>
      <c r="J1813" s="49"/>
      <c r="K1813" s="49"/>
      <c r="L1813" s="49"/>
      <c r="M1813" s="49"/>
      <c r="N1813" s="49"/>
      <c r="O1813" s="59"/>
      <c r="P1813" s="1417">
        <f>'5.LO'!E339</f>
        <v>0</v>
      </c>
      <c r="Q1813" s="1418"/>
      <c r="R1813" s="1418"/>
      <c r="S1813" s="1418"/>
      <c r="T1813" s="1418"/>
      <c r="U1813" s="1419"/>
      <c r="V1813" s="39"/>
      <c r="W1813" s="130"/>
      <c r="X1813" s="130"/>
      <c r="Y1813" s="130"/>
      <c r="Z1813" s="130"/>
      <c r="AA1813" s="130"/>
      <c r="AB1813" s="130"/>
      <c r="AC1813" s="130"/>
      <c r="AD1813" s="130"/>
      <c r="AE1813" s="130"/>
    </row>
    <row r="1814" spans="1:31" s="141" customFormat="1" ht="14.25" customHeight="1">
      <c r="A1814" s="650"/>
      <c r="B1814" s="52"/>
      <c r="C1814" s="52"/>
      <c r="D1814" s="60"/>
      <c r="E1814" s="42" t="s">
        <v>1379</v>
      </c>
      <c r="F1814" s="49"/>
      <c r="G1814" s="49"/>
      <c r="H1814" s="49"/>
      <c r="I1814" s="49"/>
      <c r="J1814" s="49"/>
      <c r="K1814" s="49"/>
      <c r="L1814" s="49"/>
      <c r="M1814" s="49"/>
      <c r="N1814" s="49"/>
      <c r="O1814" s="59"/>
      <c r="P1814" s="1417">
        <f>'5.LO'!E340</f>
        <v>0</v>
      </c>
      <c r="Q1814" s="1418"/>
      <c r="R1814" s="1418"/>
      <c r="S1814" s="1418"/>
      <c r="T1814" s="1418"/>
      <c r="U1814" s="1419"/>
      <c r="V1814" s="39"/>
      <c r="W1814" s="130"/>
      <c r="X1814" s="130"/>
      <c r="Y1814" s="130"/>
      <c r="Z1814" s="130"/>
      <c r="AA1814" s="130"/>
      <c r="AB1814" s="130"/>
      <c r="AC1814" s="130"/>
      <c r="AD1814" s="130"/>
      <c r="AE1814" s="130"/>
    </row>
    <row r="1815" spans="1:31" s="141" customFormat="1" ht="14.25" customHeight="1">
      <c r="A1815" s="650"/>
      <c r="B1815" s="52"/>
      <c r="C1815" s="52"/>
      <c r="D1815" s="60"/>
      <c r="E1815" s="42" t="s">
        <v>1380</v>
      </c>
      <c r="F1815" s="49"/>
      <c r="G1815" s="49"/>
      <c r="H1815" s="49"/>
      <c r="I1815" s="49"/>
      <c r="J1815" s="49"/>
      <c r="K1815" s="49"/>
      <c r="L1815" s="49"/>
      <c r="M1815" s="49"/>
      <c r="N1815" s="49"/>
      <c r="O1815" s="59"/>
      <c r="P1815" s="1417">
        <f>'5.LO'!E341</f>
        <v>0</v>
      </c>
      <c r="Q1815" s="1418"/>
      <c r="R1815" s="1418"/>
      <c r="S1815" s="1418"/>
      <c r="T1815" s="1418"/>
      <c r="U1815" s="1419"/>
      <c r="V1815" s="39"/>
      <c r="W1815" s="130"/>
      <c r="X1815" s="130"/>
      <c r="Y1815" s="130"/>
      <c r="Z1815" s="130"/>
      <c r="AA1815" s="130"/>
      <c r="AB1815" s="130"/>
      <c r="AC1815" s="130"/>
      <c r="AD1815" s="130"/>
      <c r="AE1815" s="130"/>
    </row>
    <row r="1816" spans="1:31" s="141" customFormat="1" ht="14.25" customHeight="1">
      <c r="A1816" s="650"/>
      <c r="B1816" s="52"/>
      <c r="C1816" s="52"/>
      <c r="D1816" s="60"/>
      <c r="E1816" s="42" t="s">
        <v>1381</v>
      </c>
      <c r="F1816" s="49"/>
      <c r="G1816" s="49"/>
      <c r="H1816" s="49"/>
      <c r="I1816" s="49"/>
      <c r="J1816" s="49"/>
      <c r="K1816" s="49"/>
      <c r="L1816" s="49"/>
      <c r="M1816" s="49"/>
      <c r="N1816" s="49"/>
      <c r="O1816" s="59"/>
      <c r="P1816" s="1417">
        <f>'5.LO'!E342</f>
        <v>0</v>
      </c>
      <c r="Q1816" s="1418"/>
      <c r="R1816" s="1418"/>
      <c r="S1816" s="1418"/>
      <c r="T1816" s="1418"/>
      <c r="U1816" s="1419"/>
      <c r="V1816" s="39"/>
      <c r="W1816" s="130"/>
      <c r="X1816" s="130"/>
      <c r="Y1816" s="130"/>
      <c r="Z1816" s="130"/>
      <c r="AA1816" s="130"/>
      <c r="AB1816" s="130"/>
      <c r="AC1816" s="130"/>
      <c r="AD1816" s="130"/>
      <c r="AE1816" s="130"/>
    </row>
    <row r="1817" spans="1:31" s="141" customFormat="1" ht="14.25" customHeight="1">
      <c r="A1817" s="650"/>
      <c r="B1817" s="52"/>
      <c r="C1817" s="52"/>
      <c r="D1817" s="60"/>
      <c r="E1817" s="42" t="s">
        <v>1382</v>
      </c>
      <c r="F1817" s="49"/>
      <c r="G1817" s="49"/>
      <c r="H1817" s="49"/>
      <c r="I1817" s="49"/>
      <c r="J1817" s="49"/>
      <c r="K1817" s="49"/>
      <c r="L1817" s="49"/>
      <c r="M1817" s="49"/>
      <c r="N1817" s="49"/>
      <c r="O1817" s="59"/>
      <c r="P1817" s="1417">
        <f>'5.LO'!E343</f>
        <v>0</v>
      </c>
      <c r="Q1817" s="1418"/>
      <c r="R1817" s="1418"/>
      <c r="S1817" s="1418"/>
      <c r="T1817" s="1418"/>
      <c r="U1817" s="1419"/>
      <c r="V1817" s="39"/>
      <c r="W1817" s="130"/>
      <c r="X1817" s="130"/>
      <c r="Y1817" s="130"/>
      <c r="Z1817" s="130"/>
      <c r="AA1817" s="130"/>
      <c r="AB1817" s="130"/>
      <c r="AC1817" s="130"/>
      <c r="AD1817" s="130"/>
      <c r="AE1817" s="130"/>
    </row>
    <row r="1818" spans="1:31" s="141" customFormat="1" ht="14.25" customHeight="1">
      <c r="A1818" s="650"/>
      <c r="B1818" s="52"/>
      <c r="C1818" s="52"/>
      <c r="D1818" s="60"/>
      <c r="E1818" s="42" t="s">
        <v>1383</v>
      </c>
      <c r="F1818" s="49"/>
      <c r="G1818" s="49"/>
      <c r="H1818" s="49"/>
      <c r="I1818" s="49"/>
      <c r="J1818" s="49"/>
      <c r="K1818" s="49"/>
      <c r="L1818" s="49"/>
      <c r="M1818" s="49"/>
      <c r="N1818" s="49"/>
      <c r="O1818" s="59"/>
      <c r="P1818" s="1417">
        <f>'5.LO'!E344</f>
        <v>0</v>
      </c>
      <c r="Q1818" s="1418"/>
      <c r="R1818" s="1418"/>
      <c r="S1818" s="1418"/>
      <c r="T1818" s="1418"/>
      <c r="U1818" s="1419"/>
      <c r="V1818" s="39"/>
      <c r="W1818" s="130"/>
      <c r="X1818" s="130"/>
      <c r="Y1818" s="130"/>
      <c r="Z1818" s="130"/>
      <c r="AA1818" s="130"/>
      <c r="AB1818" s="130"/>
      <c r="AC1818" s="130"/>
      <c r="AD1818" s="130"/>
      <c r="AE1818" s="130"/>
    </row>
    <row r="1819" spans="1:31" s="141" customFormat="1" ht="14.25" customHeight="1">
      <c r="A1819" s="650"/>
      <c r="B1819" s="52"/>
      <c r="C1819" s="52"/>
      <c r="D1819" s="50" t="s">
        <v>1384</v>
      </c>
      <c r="E1819" s="41"/>
      <c r="F1819" s="49"/>
      <c r="G1819" s="49"/>
      <c r="H1819" s="49"/>
      <c r="I1819" s="49"/>
      <c r="J1819" s="49"/>
      <c r="K1819" s="49"/>
      <c r="L1819" s="49"/>
      <c r="M1819" s="49"/>
      <c r="N1819" s="49"/>
      <c r="O1819" s="59"/>
      <c r="P1819" s="1429">
        <f>P1820</f>
        <v>0</v>
      </c>
      <c r="Q1819" s="1430"/>
      <c r="R1819" s="1430"/>
      <c r="S1819" s="1430"/>
      <c r="T1819" s="1430"/>
      <c r="U1819" s="1431"/>
      <c r="V1819" s="39"/>
      <c r="W1819" s="130"/>
      <c r="X1819" s="130"/>
      <c r="Y1819" s="130"/>
      <c r="Z1819" s="130"/>
      <c r="AA1819" s="130"/>
      <c r="AB1819" s="130"/>
      <c r="AC1819" s="130"/>
      <c r="AD1819" s="130"/>
      <c r="AE1819" s="130"/>
    </row>
    <row r="1820" spans="1:31" s="141" customFormat="1" ht="14.25" customHeight="1">
      <c r="A1820" s="650"/>
      <c r="B1820" s="52"/>
      <c r="C1820" s="52"/>
      <c r="D1820" s="60"/>
      <c r="E1820" s="42" t="s">
        <v>1385</v>
      </c>
      <c r="F1820" s="49"/>
      <c r="G1820" s="49"/>
      <c r="H1820" s="49"/>
      <c r="I1820" s="49"/>
      <c r="J1820" s="49"/>
      <c r="K1820" s="49"/>
      <c r="L1820" s="49"/>
      <c r="M1820" s="49"/>
      <c r="N1820" s="49"/>
      <c r="O1820" s="59"/>
      <c r="P1820" s="1417">
        <f>'5.LO'!E346</f>
        <v>0</v>
      </c>
      <c r="Q1820" s="1418"/>
      <c r="R1820" s="1418"/>
      <c r="S1820" s="1418"/>
      <c r="T1820" s="1418"/>
      <c r="U1820" s="1419"/>
      <c r="V1820" s="39"/>
      <c r="W1820" s="130"/>
      <c r="X1820" s="130"/>
      <c r="Y1820" s="130"/>
      <c r="Z1820" s="130"/>
      <c r="AA1820" s="130"/>
      <c r="AB1820" s="130"/>
      <c r="AC1820" s="130"/>
      <c r="AD1820" s="130"/>
      <c r="AE1820" s="130"/>
    </row>
    <row r="1821" spans="1:31" s="141" customFormat="1" ht="22.5" customHeight="1">
      <c r="A1821" s="650"/>
      <c r="B1821" s="52"/>
      <c r="C1821" s="52"/>
      <c r="D1821" s="50" t="s">
        <v>1386</v>
      </c>
      <c r="E1821" s="41"/>
      <c r="F1821" s="49"/>
      <c r="G1821" s="49"/>
      <c r="H1821" s="49"/>
      <c r="I1821" s="49"/>
      <c r="J1821" s="49"/>
      <c r="K1821" s="49"/>
      <c r="L1821" s="49"/>
      <c r="M1821" s="49"/>
      <c r="N1821" s="49"/>
      <c r="O1821" s="59"/>
      <c r="P1821" s="1429">
        <f>SUM(P1822:U1823)</f>
        <v>0</v>
      </c>
      <c r="Q1821" s="1430"/>
      <c r="R1821" s="1430"/>
      <c r="S1821" s="1430"/>
      <c r="T1821" s="1430"/>
      <c r="U1821" s="1431"/>
      <c r="V1821" s="39"/>
      <c r="W1821" s="130"/>
      <c r="X1821" s="130"/>
      <c r="Y1821" s="130"/>
      <c r="Z1821" s="130"/>
      <c r="AA1821" s="130"/>
      <c r="AB1821" s="130"/>
      <c r="AC1821" s="130"/>
      <c r="AD1821" s="130"/>
      <c r="AE1821" s="130"/>
    </row>
    <row r="1822" spans="1:31" s="141" customFormat="1" ht="14.25" customHeight="1">
      <c r="A1822" s="650"/>
      <c r="B1822" s="52"/>
      <c r="C1822" s="52"/>
      <c r="D1822" s="60"/>
      <c r="E1822" s="42" t="s">
        <v>1387</v>
      </c>
      <c r="F1822" s="49"/>
      <c r="G1822" s="49"/>
      <c r="H1822" s="49"/>
      <c r="I1822" s="49"/>
      <c r="J1822" s="49"/>
      <c r="K1822" s="49"/>
      <c r="L1822" s="49"/>
      <c r="M1822" s="49"/>
      <c r="N1822" s="49"/>
      <c r="O1822" s="59"/>
      <c r="P1822" s="1417">
        <f>'5.LO'!E348</f>
        <v>0</v>
      </c>
      <c r="Q1822" s="1418"/>
      <c r="R1822" s="1418"/>
      <c r="S1822" s="1418"/>
      <c r="T1822" s="1418"/>
      <c r="U1822" s="1419"/>
      <c r="V1822" s="39"/>
      <c r="W1822" s="130"/>
      <c r="X1822" s="130"/>
      <c r="Y1822" s="130"/>
      <c r="Z1822" s="130"/>
      <c r="AA1822" s="130"/>
      <c r="AB1822" s="130"/>
      <c r="AC1822" s="130"/>
      <c r="AD1822" s="130"/>
      <c r="AE1822" s="130"/>
    </row>
    <row r="1823" spans="1:31" s="141" customFormat="1" ht="14.25" customHeight="1">
      <c r="A1823" s="650"/>
      <c r="B1823" s="52"/>
      <c r="C1823" s="52"/>
      <c r="D1823" s="60"/>
      <c r="E1823" s="42" t="s">
        <v>1388</v>
      </c>
      <c r="F1823" s="49"/>
      <c r="G1823" s="49"/>
      <c r="H1823" s="49"/>
      <c r="I1823" s="49"/>
      <c r="J1823" s="49"/>
      <c r="K1823" s="49"/>
      <c r="L1823" s="49"/>
      <c r="M1823" s="49"/>
      <c r="N1823" s="49"/>
      <c r="O1823" s="59"/>
      <c r="P1823" s="1417">
        <f>'5.LO'!E349</f>
        <v>0</v>
      </c>
      <c r="Q1823" s="1418"/>
      <c r="R1823" s="1418"/>
      <c r="S1823" s="1418"/>
      <c r="T1823" s="1418"/>
      <c r="U1823" s="1419"/>
      <c r="V1823" s="39"/>
      <c r="W1823" s="130"/>
      <c r="X1823" s="130"/>
      <c r="Y1823" s="130"/>
      <c r="Z1823" s="130"/>
      <c r="AA1823" s="130"/>
      <c r="AB1823" s="130"/>
      <c r="AC1823" s="130"/>
      <c r="AD1823" s="130"/>
      <c r="AE1823" s="130"/>
    </row>
    <row r="1824" spans="1:31" s="141" customFormat="1" ht="14.25" customHeight="1">
      <c r="A1824" s="650"/>
      <c r="B1824" s="52"/>
      <c r="C1824" s="52"/>
      <c r="D1824" s="50" t="s">
        <v>1389</v>
      </c>
      <c r="E1824" s="41"/>
      <c r="F1824" s="49"/>
      <c r="G1824" s="49"/>
      <c r="H1824" s="49"/>
      <c r="I1824" s="49"/>
      <c r="J1824" s="49"/>
      <c r="K1824" s="49"/>
      <c r="L1824" s="49"/>
      <c r="M1824" s="49"/>
      <c r="N1824" s="49"/>
      <c r="O1824" s="59"/>
      <c r="P1824" s="1429">
        <f>P1825</f>
        <v>0</v>
      </c>
      <c r="Q1824" s="1430"/>
      <c r="R1824" s="1430"/>
      <c r="S1824" s="1430"/>
      <c r="T1824" s="1430"/>
      <c r="U1824" s="1431"/>
      <c r="V1824" s="39"/>
      <c r="W1824" s="130"/>
      <c r="X1824" s="130"/>
      <c r="Y1824" s="130"/>
      <c r="Z1824" s="130"/>
      <c r="AA1824" s="130"/>
      <c r="AB1824" s="130"/>
      <c r="AC1824" s="130"/>
      <c r="AD1824" s="130"/>
      <c r="AE1824" s="130"/>
    </row>
    <row r="1825" spans="1:31" s="141" customFormat="1" ht="14.25" customHeight="1">
      <c r="A1825" s="650"/>
      <c r="B1825" s="52"/>
      <c r="C1825" s="52"/>
      <c r="D1825" s="60"/>
      <c r="E1825" s="42" t="s">
        <v>1390</v>
      </c>
      <c r="F1825" s="49"/>
      <c r="G1825" s="49"/>
      <c r="H1825" s="49"/>
      <c r="I1825" s="49"/>
      <c r="J1825" s="49"/>
      <c r="K1825" s="49"/>
      <c r="L1825" s="49"/>
      <c r="M1825" s="49"/>
      <c r="N1825" s="49"/>
      <c r="O1825" s="59"/>
      <c r="P1825" s="1417">
        <f>'5.LO'!E351</f>
        <v>0</v>
      </c>
      <c r="Q1825" s="1418"/>
      <c r="R1825" s="1418"/>
      <c r="S1825" s="1418"/>
      <c r="T1825" s="1418"/>
      <c r="U1825" s="1419"/>
      <c r="V1825" s="39"/>
      <c r="W1825" s="130"/>
      <c r="X1825" s="130"/>
      <c r="Y1825" s="130"/>
      <c r="Z1825" s="130"/>
      <c r="AA1825" s="130"/>
      <c r="AB1825" s="130"/>
      <c r="AC1825" s="130"/>
      <c r="AD1825" s="130"/>
      <c r="AE1825" s="130"/>
    </row>
    <row r="1826" spans="1:31" s="141" customFormat="1" ht="14.25" customHeight="1">
      <c r="A1826" s="650"/>
      <c r="B1826" s="52"/>
      <c r="C1826" s="52"/>
      <c r="D1826" s="50" t="s">
        <v>1391</v>
      </c>
      <c r="E1826" s="41"/>
      <c r="F1826" s="49"/>
      <c r="G1826" s="49"/>
      <c r="H1826" s="49"/>
      <c r="I1826" s="49"/>
      <c r="J1826" s="49"/>
      <c r="K1826" s="49"/>
      <c r="L1826" s="49"/>
      <c r="M1826" s="49"/>
      <c r="N1826" s="49"/>
      <c r="O1826" s="59"/>
      <c r="P1826" s="1429">
        <f>P1827</f>
        <v>0</v>
      </c>
      <c r="Q1826" s="1430"/>
      <c r="R1826" s="1430"/>
      <c r="S1826" s="1430"/>
      <c r="T1826" s="1430"/>
      <c r="U1826" s="1431"/>
      <c r="V1826" s="39"/>
      <c r="W1826" s="130"/>
      <c r="X1826" s="130"/>
      <c r="Y1826" s="130"/>
      <c r="Z1826" s="130"/>
      <c r="AA1826" s="130"/>
      <c r="AB1826" s="130"/>
      <c r="AC1826" s="130"/>
      <c r="AD1826" s="130"/>
      <c r="AE1826" s="130"/>
    </row>
    <row r="1827" spans="1:31" s="141" customFormat="1" ht="14.25" customHeight="1">
      <c r="A1827" s="650"/>
      <c r="B1827" s="52"/>
      <c r="C1827" s="52"/>
      <c r="D1827" s="60"/>
      <c r="E1827" s="42" t="s">
        <v>1392</v>
      </c>
      <c r="F1827" s="49"/>
      <c r="G1827" s="49"/>
      <c r="H1827" s="49"/>
      <c r="I1827" s="49"/>
      <c r="J1827" s="49"/>
      <c r="K1827" s="49"/>
      <c r="L1827" s="49"/>
      <c r="M1827" s="49"/>
      <c r="N1827" s="49"/>
      <c r="O1827" s="59"/>
      <c r="P1827" s="1417">
        <f>'5.LO'!E353</f>
        <v>0</v>
      </c>
      <c r="Q1827" s="1418"/>
      <c r="R1827" s="1418"/>
      <c r="S1827" s="1418"/>
      <c r="T1827" s="1418"/>
      <c r="U1827" s="1419"/>
      <c r="V1827" s="39"/>
      <c r="W1827" s="130"/>
      <c r="X1827" s="130"/>
      <c r="Y1827" s="130"/>
      <c r="Z1827" s="130"/>
      <c r="AA1827" s="130"/>
      <c r="AB1827" s="130"/>
      <c r="AC1827" s="130"/>
      <c r="AD1827" s="130"/>
      <c r="AE1827" s="130"/>
    </row>
    <row r="1828" spans="1:31" s="141" customFormat="1" ht="14.25" customHeight="1">
      <c r="A1828" s="650"/>
      <c r="B1828" s="52"/>
      <c r="C1828" s="52"/>
      <c r="D1828" s="50" t="s">
        <v>1259</v>
      </c>
      <c r="E1828" s="41"/>
      <c r="F1828" s="49"/>
      <c r="G1828" s="49"/>
      <c r="H1828" s="49"/>
      <c r="I1828" s="49"/>
      <c r="J1828" s="49"/>
      <c r="K1828" s="49"/>
      <c r="L1828" s="49"/>
      <c r="M1828" s="49"/>
      <c r="N1828" s="49"/>
      <c r="O1828" s="59"/>
      <c r="P1828" s="1429">
        <f>SUM(P1829:U1832)</f>
        <v>0</v>
      </c>
      <c r="Q1828" s="1430"/>
      <c r="R1828" s="1430"/>
      <c r="S1828" s="1430"/>
      <c r="T1828" s="1430"/>
      <c r="U1828" s="1431"/>
      <c r="V1828" s="39"/>
      <c r="W1828" s="130"/>
      <c r="X1828" s="130"/>
      <c r="Y1828" s="130"/>
      <c r="Z1828" s="130"/>
      <c r="AA1828" s="130"/>
      <c r="AB1828" s="130"/>
      <c r="AC1828" s="130"/>
      <c r="AD1828" s="130"/>
      <c r="AE1828" s="130"/>
    </row>
    <row r="1829" spans="1:31" s="141" customFormat="1" ht="14.25" customHeight="1">
      <c r="A1829" s="650"/>
      <c r="B1829" s="52"/>
      <c r="C1829" s="52"/>
      <c r="D1829" s="60"/>
      <c r="E1829" s="42" t="s">
        <v>1260</v>
      </c>
      <c r="F1829" s="49"/>
      <c r="G1829" s="49"/>
      <c r="H1829" s="49"/>
      <c r="I1829" s="49"/>
      <c r="J1829" s="49"/>
      <c r="K1829" s="49"/>
      <c r="L1829" s="49"/>
      <c r="M1829" s="49"/>
      <c r="N1829" s="49"/>
      <c r="O1829" s="59"/>
      <c r="P1829" s="1417">
        <f>'5.LO'!E355</f>
        <v>0</v>
      </c>
      <c r="Q1829" s="1418"/>
      <c r="R1829" s="1418"/>
      <c r="S1829" s="1418"/>
      <c r="T1829" s="1418"/>
      <c r="U1829" s="1419"/>
      <c r="V1829" s="39"/>
      <c r="W1829" s="130"/>
      <c r="X1829" s="130"/>
      <c r="Y1829" s="130"/>
      <c r="Z1829" s="130"/>
      <c r="AA1829" s="130"/>
      <c r="AB1829" s="130"/>
      <c r="AC1829" s="130"/>
      <c r="AD1829" s="130"/>
      <c r="AE1829" s="130"/>
    </row>
    <row r="1830" spans="1:31" s="141" customFormat="1" ht="14.25" customHeight="1">
      <c r="A1830" s="650"/>
      <c r="B1830" s="52"/>
      <c r="C1830" s="52"/>
      <c r="D1830" s="60"/>
      <c r="E1830" s="42" t="s">
        <v>1261</v>
      </c>
      <c r="F1830" s="49"/>
      <c r="G1830" s="49"/>
      <c r="H1830" s="49"/>
      <c r="I1830" s="49"/>
      <c r="J1830" s="49"/>
      <c r="K1830" s="49"/>
      <c r="L1830" s="49"/>
      <c r="M1830" s="49"/>
      <c r="N1830" s="49"/>
      <c r="O1830" s="59"/>
      <c r="P1830" s="1417">
        <f>'5.LO'!E356</f>
        <v>0</v>
      </c>
      <c r="Q1830" s="1418"/>
      <c r="R1830" s="1418"/>
      <c r="S1830" s="1418"/>
      <c r="T1830" s="1418"/>
      <c r="U1830" s="1419"/>
      <c r="V1830" s="39"/>
      <c r="W1830" s="130"/>
      <c r="X1830" s="130"/>
      <c r="Y1830" s="130"/>
      <c r="Z1830" s="130"/>
      <c r="AA1830" s="130"/>
      <c r="AB1830" s="130"/>
      <c r="AC1830" s="130"/>
      <c r="AD1830" s="130"/>
      <c r="AE1830" s="130"/>
    </row>
    <row r="1831" spans="1:31" s="141" customFormat="1" ht="14.25" customHeight="1">
      <c r="A1831" s="650"/>
      <c r="B1831" s="52"/>
      <c r="C1831" s="52"/>
      <c r="D1831" s="60"/>
      <c r="E1831" s="42" t="s">
        <v>1262</v>
      </c>
      <c r="F1831" s="49"/>
      <c r="G1831" s="49"/>
      <c r="H1831" s="49"/>
      <c r="I1831" s="49"/>
      <c r="J1831" s="49"/>
      <c r="K1831" s="49"/>
      <c r="L1831" s="49"/>
      <c r="M1831" s="49"/>
      <c r="N1831" s="49"/>
      <c r="O1831" s="59"/>
      <c r="P1831" s="1417">
        <f>'5.LO'!E357</f>
        <v>0</v>
      </c>
      <c r="Q1831" s="1418"/>
      <c r="R1831" s="1418"/>
      <c r="S1831" s="1418"/>
      <c r="T1831" s="1418"/>
      <c r="U1831" s="1419"/>
      <c r="V1831" s="39"/>
      <c r="W1831" s="130"/>
      <c r="X1831" s="130"/>
      <c r="Y1831" s="130"/>
      <c r="Z1831" s="130"/>
      <c r="AA1831" s="130"/>
      <c r="AB1831" s="130"/>
      <c r="AC1831" s="130"/>
      <c r="AD1831" s="130"/>
      <c r="AE1831" s="130"/>
    </row>
    <row r="1832" spans="1:31" s="141" customFormat="1" ht="14.25" customHeight="1">
      <c r="A1832" s="650"/>
      <c r="B1832" s="52"/>
      <c r="C1832" s="52"/>
      <c r="D1832" s="60"/>
      <c r="E1832" s="42" t="s">
        <v>1263</v>
      </c>
      <c r="F1832" s="49"/>
      <c r="G1832" s="49"/>
      <c r="H1832" s="49"/>
      <c r="I1832" s="49"/>
      <c r="J1832" s="49"/>
      <c r="K1832" s="49"/>
      <c r="L1832" s="49"/>
      <c r="M1832" s="49"/>
      <c r="N1832" s="49"/>
      <c r="O1832" s="59"/>
      <c r="P1832" s="1417">
        <f>'5.LO'!E358</f>
        <v>0</v>
      </c>
      <c r="Q1832" s="1418"/>
      <c r="R1832" s="1418"/>
      <c r="S1832" s="1418"/>
      <c r="T1832" s="1418"/>
      <c r="U1832" s="1419"/>
      <c r="V1832" s="39"/>
      <c r="W1832" s="130"/>
      <c r="X1832" s="130"/>
      <c r="Y1832" s="130"/>
      <c r="Z1832" s="130"/>
      <c r="AA1832" s="130"/>
      <c r="AB1832" s="130"/>
      <c r="AC1832" s="130"/>
      <c r="AD1832" s="130"/>
      <c r="AE1832" s="130"/>
    </row>
    <row r="1833" spans="1:31" s="141" customFormat="1" ht="14.25" customHeight="1">
      <c r="A1833" s="650"/>
      <c r="B1833" s="52"/>
      <c r="C1833" s="52"/>
      <c r="D1833" s="50" t="s">
        <v>1393</v>
      </c>
      <c r="E1833" s="41"/>
      <c r="F1833" s="49"/>
      <c r="G1833" s="49"/>
      <c r="H1833" s="49"/>
      <c r="I1833" s="49"/>
      <c r="J1833" s="49"/>
      <c r="K1833" s="49"/>
      <c r="L1833" s="49"/>
      <c r="M1833" s="49"/>
      <c r="N1833" s="49"/>
      <c r="O1833" s="59"/>
      <c r="P1833" s="1429">
        <f>SUM(P1834:U1835)</f>
        <v>0</v>
      </c>
      <c r="Q1833" s="1430"/>
      <c r="R1833" s="1430"/>
      <c r="S1833" s="1430"/>
      <c r="T1833" s="1430"/>
      <c r="U1833" s="1431"/>
      <c r="V1833" s="39"/>
      <c r="W1833" s="130"/>
      <c r="X1833" s="130"/>
      <c r="Y1833" s="130"/>
      <c r="Z1833" s="130"/>
      <c r="AA1833" s="130"/>
      <c r="AB1833" s="130"/>
      <c r="AC1833" s="130"/>
      <c r="AD1833" s="130"/>
      <c r="AE1833" s="130"/>
    </row>
    <row r="1834" spans="1:31" s="141" customFormat="1" ht="14.25" customHeight="1">
      <c r="A1834" s="650"/>
      <c r="B1834" s="52"/>
      <c r="C1834" s="52"/>
      <c r="D1834" s="60"/>
      <c r="E1834" s="42" t="s">
        <v>1394</v>
      </c>
      <c r="F1834" s="49"/>
      <c r="G1834" s="49"/>
      <c r="H1834" s="49"/>
      <c r="I1834" s="49"/>
      <c r="J1834" s="49"/>
      <c r="K1834" s="49"/>
      <c r="L1834" s="49"/>
      <c r="M1834" s="49"/>
      <c r="N1834" s="49"/>
      <c r="O1834" s="59"/>
      <c r="P1834" s="1417">
        <f>'5.LO'!E360</f>
        <v>0</v>
      </c>
      <c r="Q1834" s="1418"/>
      <c r="R1834" s="1418"/>
      <c r="S1834" s="1418"/>
      <c r="T1834" s="1418"/>
      <c r="U1834" s="1419"/>
      <c r="V1834" s="39"/>
      <c r="W1834" s="130"/>
      <c r="X1834" s="130"/>
      <c r="Y1834" s="130"/>
      <c r="Z1834" s="130"/>
      <c r="AA1834" s="130"/>
      <c r="AB1834" s="130"/>
      <c r="AC1834" s="130"/>
      <c r="AD1834" s="130"/>
      <c r="AE1834" s="130"/>
    </row>
    <row r="1835" spans="1:31" s="141" customFormat="1" ht="14.25" customHeight="1">
      <c r="A1835" s="650"/>
      <c r="B1835" s="52"/>
      <c r="C1835" s="52"/>
      <c r="D1835" s="60"/>
      <c r="E1835" s="42" t="s">
        <v>1395</v>
      </c>
      <c r="F1835" s="49"/>
      <c r="G1835" s="49"/>
      <c r="H1835" s="49"/>
      <c r="I1835" s="49"/>
      <c r="J1835" s="49"/>
      <c r="K1835" s="49"/>
      <c r="L1835" s="49"/>
      <c r="M1835" s="49"/>
      <c r="N1835" s="49"/>
      <c r="O1835" s="59"/>
      <c r="P1835" s="1417">
        <f>'5.LO'!E361</f>
        <v>0</v>
      </c>
      <c r="Q1835" s="1418"/>
      <c r="R1835" s="1418"/>
      <c r="S1835" s="1418"/>
      <c r="T1835" s="1418"/>
      <c r="U1835" s="1419"/>
      <c r="V1835" s="39"/>
      <c r="W1835" s="130"/>
      <c r="X1835" s="130"/>
      <c r="Y1835" s="130"/>
      <c r="Z1835" s="130"/>
      <c r="AA1835" s="130"/>
      <c r="AB1835" s="130"/>
      <c r="AC1835" s="130"/>
      <c r="AD1835" s="130"/>
      <c r="AE1835" s="130"/>
    </row>
    <row r="1836" spans="1:31" s="141" customFormat="1" ht="22.5" customHeight="1">
      <c r="A1836" s="650"/>
      <c r="B1836" s="12"/>
      <c r="C1836" s="58"/>
      <c r="D1836" s="1680" t="s">
        <v>1186</v>
      </c>
      <c r="E1836" s="1681"/>
      <c r="F1836" s="1681"/>
      <c r="G1836" s="1681"/>
      <c r="H1836" s="1681"/>
      <c r="I1836" s="1681"/>
      <c r="J1836" s="1681"/>
      <c r="K1836" s="1681"/>
      <c r="L1836" s="1681"/>
      <c r="M1836" s="1681"/>
      <c r="N1836" s="1681"/>
      <c r="O1836" s="1682"/>
      <c r="P1836" s="1429">
        <f>P1729+P1768+P1771+P1777+P1780+P1783+P1795+P1802+P1809+P1811+P1819+P1821+P1824+P1826+P1828+P1833</f>
        <v>255431634</v>
      </c>
      <c r="Q1836" s="1430"/>
      <c r="R1836" s="1430"/>
      <c r="S1836" s="1430"/>
      <c r="T1836" s="1430"/>
      <c r="U1836" s="1431"/>
      <c r="V1836" s="66"/>
      <c r="W1836" s="130"/>
      <c r="X1836" s="130"/>
      <c r="Y1836" s="130"/>
      <c r="Z1836" s="130"/>
      <c r="AA1836" s="130"/>
      <c r="AB1836" s="130"/>
      <c r="AC1836" s="130"/>
      <c r="AD1836" s="130"/>
      <c r="AE1836" s="130"/>
    </row>
    <row r="1837" spans="1:31" s="141" customFormat="1" ht="6.75" customHeight="1">
      <c r="A1837" s="650"/>
      <c r="B1837" s="12"/>
      <c r="C1837" s="58"/>
      <c r="D1837" s="58"/>
      <c r="E1837" s="58"/>
      <c r="F1837" s="58"/>
      <c r="G1837" s="58"/>
      <c r="H1837" s="58"/>
      <c r="I1837" s="58"/>
      <c r="J1837" s="34"/>
      <c r="K1837" s="34"/>
      <c r="L1837" s="34"/>
      <c r="M1837" s="34"/>
      <c r="N1837" s="34"/>
      <c r="O1837" s="34"/>
      <c r="P1837" s="34"/>
      <c r="Q1837" s="34"/>
      <c r="R1837" s="1672"/>
      <c r="S1837" s="1672"/>
      <c r="T1837" s="683"/>
      <c r="U1837" s="683"/>
      <c r="V1837" s="66"/>
      <c r="W1837" s="130"/>
      <c r="X1837" s="130"/>
      <c r="Y1837" s="130"/>
      <c r="Z1837" s="130"/>
      <c r="AA1837" s="130"/>
      <c r="AB1837" s="130"/>
      <c r="AC1837" s="130"/>
      <c r="AD1837" s="130"/>
      <c r="AE1837" s="130"/>
    </row>
    <row r="1838" spans="1:31" s="141" customFormat="1" ht="16.5" customHeight="1">
      <c r="A1838" s="650"/>
      <c r="B1838" s="53"/>
      <c r="C1838" s="74" t="s">
        <v>788</v>
      </c>
      <c r="D1838" s="1423" t="s">
        <v>48</v>
      </c>
      <c r="E1838" s="1423"/>
      <c r="F1838" s="1423"/>
      <c r="G1838" s="1423"/>
      <c r="H1838" s="1423"/>
      <c r="I1838" s="1423"/>
      <c r="J1838" s="1423"/>
      <c r="K1838" s="1423"/>
      <c r="L1838" s="1423"/>
      <c r="M1838" s="1423"/>
      <c r="N1838" s="1423"/>
      <c r="O1838" s="1423"/>
      <c r="P1838" s="1423"/>
      <c r="Q1838" s="1423"/>
      <c r="R1838" s="1423"/>
      <c r="S1838" s="1423"/>
      <c r="T1838" s="1423"/>
      <c r="U1838" s="1423"/>
      <c r="V1838" s="66"/>
      <c r="W1838" s="130"/>
      <c r="X1838" s="130"/>
      <c r="Y1838" s="130"/>
      <c r="Z1838" s="130"/>
      <c r="AA1838" s="130"/>
      <c r="AB1838" s="130"/>
      <c r="AC1838" s="130"/>
      <c r="AD1838" s="130"/>
      <c r="AE1838" s="130"/>
    </row>
    <row r="1839" spans="1:31" s="141" customFormat="1" ht="45" customHeight="1">
      <c r="A1839" s="650"/>
      <c r="C1839" s="38"/>
      <c r="D1839" s="1091" t="str">
        <f>"Beban Pemeliharaan Tahun "&amp;'2.ISIAN DATA SKPD'!D11&amp;"  dan tahun "&amp;'2.ISIAN DATA SKPD'!D12&amp;" adalah masing-masing sebesar Rp. 0 dan 0 mengalami  kenaikan/penurunan sebesar Rp. 0 atau sebesar 0 % dari tahun "&amp;'2.ISIAN DATA SKPD'!D12&amp;"."</f>
        <v>Beban Pemeliharaan Tahun 2017  dan tahun 2016 adalah masing-masing sebesar Rp. 0 dan 0 mengalami  kenaikan/penurunan sebesar Rp. 0 atau sebesar 0 % dari tahun 2016.</v>
      </c>
      <c r="E1839" s="1091"/>
      <c r="F1839" s="1091"/>
      <c r="G1839" s="1091"/>
      <c r="H1839" s="1091"/>
      <c r="I1839" s="1091"/>
      <c r="J1839" s="1091"/>
      <c r="K1839" s="1091"/>
      <c r="L1839" s="1091"/>
      <c r="M1839" s="1091"/>
      <c r="N1839" s="1091"/>
      <c r="O1839" s="1091"/>
      <c r="P1839" s="1091"/>
      <c r="Q1839" s="1091"/>
      <c r="R1839" s="1091"/>
      <c r="S1839" s="1091"/>
      <c r="T1839" s="1091"/>
      <c r="U1839" s="1091"/>
      <c r="V1839" s="66"/>
      <c r="W1839" s="130"/>
      <c r="X1839" s="130"/>
      <c r="Y1839" s="130"/>
      <c r="Z1839" s="130"/>
      <c r="AA1839" s="130"/>
      <c r="AB1839" s="130"/>
      <c r="AC1839" s="130"/>
      <c r="AD1839" s="130"/>
      <c r="AE1839" s="130"/>
    </row>
    <row r="1840" spans="1:31" s="141" customFormat="1" ht="60" customHeight="1">
      <c r="A1840" s="650"/>
      <c r="C1840" s="38"/>
      <c r="D1840" s="1091" t="str">
        <f>"Beban Pemeliharaan merupakan beban yang dimaksudkan untuk mempertahankan aset tetap atau aset lainnya yang sudah ada ke dalam kondisi normal. Rincian beban pemeliharaan untuk Tahun "&amp;'2.ISIAN DATA SKPD'!D11&amp;" adalah sebagai berikut:"</f>
        <v>Beban Pemeliharaan merupakan beban yang dimaksudkan untuk mempertahankan aset tetap atau aset lainnya yang sudah ada ke dalam kondisi normal. Rincian beban pemeliharaan untuk Tahun 2017 adalah sebagai berikut:</v>
      </c>
      <c r="E1840" s="1091"/>
      <c r="F1840" s="1091"/>
      <c r="G1840" s="1091"/>
      <c r="H1840" s="1091"/>
      <c r="I1840" s="1091"/>
      <c r="J1840" s="1091"/>
      <c r="K1840" s="1091"/>
      <c r="L1840" s="1091"/>
      <c r="M1840" s="1091"/>
      <c r="N1840" s="1091"/>
      <c r="O1840" s="1091"/>
      <c r="P1840" s="1091"/>
      <c r="Q1840" s="1091"/>
      <c r="R1840" s="1091"/>
      <c r="S1840" s="1091"/>
      <c r="T1840" s="1091"/>
      <c r="U1840" s="1091"/>
      <c r="V1840" s="66"/>
      <c r="W1840" s="130"/>
      <c r="X1840" s="130"/>
      <c r="Y1840" s="130"/>
      <c r="Z1840" s="130"/>
      <c r="AA1840" s="130"/>
      <c r="AB1840" s="130"/>
      <c r="AC1840" s="130"/>
      <c r="AD1840" s="130"/>
      <c r="AE1840" s="130"/>
    </row>
    <row r="1841" spans="1:31" s="141" customFormat="1" ht="9" customHeight="1" hidden="1">
      <c r="A1841" s="650"/>
      <c r="C1841" s="38"/>
      <c r="D1841" s="702"/>
      <c r="E1841" s="702"/>
      <c r="F1841" s="702"/>
      <c r="G1841" s="702"/>
      <c r="H1841" s="702"/>
      <c r="I1841" s="702"/>
      <c r="J1841" s="702"/>
      <c r="K1841" s="702"/>
      <c r="L1841" s="702"/>
      <c r="M1841" s="702"/>
      <c r="N1841" s="702"/>
      <c r="O1841" s="702"/>
      <c r="P1841" s="702"/>
      <c r="Q1841" s="702"/>
      <c r="R1841" s="702"/>
      <c r="S1841" s="702"/>
      <c r="T1841" s="702"/>
      <c r="U1841" s="702"/>
      <c r="V1841" s="66"/>
      <c r="W1841" s="130"/>
      <c r="X1841" s="130"/>
      <c r="Y1841" s="130"/>
      <c r="Z1841" s="130"/>
      <c r="AA1841" s="130"/>
      <c r="AB1841" s="130"/>
      <c r="AC1841" s="130"/>
      <c r="AD1841" s="130"/>
      <c r="AE1841" s="130"/>
    </row>
    <row r="1842" spans="1:31" s="699" customFormat="1" ht="21" customHeight="1">
      <c r="A1842" s="698"/>
      <c r="C1842" s="65"/>
      <c r="D1842" s="1425" t="str">
        <f>"Rincian Beban Pemeliharaan Tahun "&amp;'2.ISIAN DATA SKPD'!D11&amp;""</f>
        <v>Rincian Beban Pemeliharaan Tahun 2017</v>
      </c>
      <c r="E1842" s="1425"/>
      <c r="F1842" s="1425"/>
      <c r="G1842" s="1425"/>
      <c r="H1842" s="1425"/>
      <c r="I1842" s="1425"/>
      <c r="J1842" s="1425"/>
      <c r="K1842" s="1425"/>
      <c r="L1842" s="1425"/>
      <c r="M1842" s="1425"/>
      <c r="N1842" s="1425"/>
      <c r="O1842" s="1425"/>
      <c r="P1842" s="1425"/>
      <c r="Q1842" s="1425"/>
      <c r="R1842" s="1425"/>
      <c r="S1842" s="65"/>
      <c r="T1842" s="65"/>
      <c r="U1842" s="65"/>
      <c r="V1842" s="142"/>
      <c r="W1842" s="143"/>
      <c r="X1842" s="143"/>
      <c r="Y1842" s="143"/>
      <c r="Z1842" s="143"/>
      <c r="AA1842" s="143"/>
      <c r="AB1842" s="143"/>
      <c r="AC1842" s="143"/>
      <c r="AD1842" s="143"/>
      <c r="AE1842" s="143"/>
    </row>
    <row r="1843" spans="1:31" s="141" customFormat="1" ht="22.5" customHeight="1">
      <c r="A1843" s="650"/>
      <c r="B1843" s="14"/>
      <c r="C1843" s="14"/>
      <c r="D1843" s="1126" t="s">
        <v>9</v>
      </c>
      <c r="E1843" s="1127"/>
      <c r="F1843" s="1127"/>
      <c r="G1843" s="1127"/>
      <c r="H1843" s="1127"/>
      <c r="I1843" s="1127"/>
      <c r="J1843" s="1127"/>
      <c r="K1843" s="1128"/>
      <c r="L1843" s="1324" t="s">
        <v>10</v>
      </c>
      <c r="M1843" s="1324"/>
      <c r="N1843" s="1324"/>
      <c r="O1843" s="1324"/>
      <c r="P1843" s="1324"/>
      <c r="Q1843" s="1324"/>
      <c r="R1843" s="1324"/>
      <c r="S1843" s="14"/>
      <c r="T1843" s="808"/>
      <c r="U1843" s="808"/>
      <c r="V1843" s="66"/>
      <c r="W1843" s="130"/>
      <c r="X1843" s="130"/>
      <c r="Y1843" s="130"/>
      <c r="Z1843" s="130"/>
      <c r="AA1843" s="130"/>
      <c r="AB1843" s="130"/>
      <c r="AC1843" s="130"/>
      <c r="AD1843" s="130"/>
      <c r="AE1843" s="130"/>
    </row>
    <row r="1844" spans="1:31" s="141" customFormat="1" ht="32.25" customHeight="1">
      <c r="A1844" s="650"/>
      <c r="B1844" s="12"/>
      <c r="C1844" s="58"/>
      <c r="D1844" s="1123" t="s">
        <v>264</v>
      </c>
      <c r="E1844" s="1124"/>
      <c r="F1844" s="1124"/>
      <c r="G1844" s="1124"/>
      <c r="H1844" s="1124"/>
      <c r="I1844" s="1124"/>
      <c r="J1844" s="1124"/>
      <c r="K1844" s="1125"/>
      <c r="L1844" s="1417">
        <f>'5.LO'!E363</f>
        <v>26517000</v>
      </c>
      <c r="M1844" s="1418"/>
      <c r="N1844" s="1418"/>
      <c r="O1844" s="1418"/>
      <c r="P1844" s="1418"/>
      <c r="Q1844" s="1418"/>
      <c r="R1844" s="1419"/>
      <c r="S1844" s="34"/>
      <c r="T1844" s="741"/>
      <c r="U1844" s="741"/>
      <c r="V1844" s="66"/>
      <c r="W1844" s="130"/>
      <c r="X1844" s="130"/>
      <c r="Y1844" s="130"/>
      <c r="Z1844" s="130"/>
      <c r="AA1844" s="130"/>
      <c r="AB1844" s="130"/>
      <c r="AC1844" s="130"/>
      <c r="AD1844" s="130"/>
      <c r="AE1844" s="130"/>
    </row>
    <row r="1845" spans="1:31" s="141" customFormat="1" ht="18" customHeight="1">
      <c r="A1845" s="650"/>
      <c r="B1845" s="12"/>
      <c r="C1845" s="58"/>
      <c r="D1845" s="1123" t="s">
        <v>1187</v>
      </c>
      <c r="E1845" s="1124"/>
      <c r="F1845" s="1124"/>
      <c r="G1845" s="1124"/>
      <c r="H1845" s="1124"/>
      <c r="I1845" s="1124"/>
      <c r="J1845" s="1124"/>
      <c r="K1845" s="1125"/>
      <c r="L1845" s="1417">
        <f>'5.LO'!E370</f>
        <v>0</v>
      </c>
      <c r="M1845" s="1418"/>
      <c r="N1845" s="1418"/>
      <c r="O1845" s="1418"/>
      <c r="P1845" s="1418"/>
      <c r="Q1845" s="1418"/>
      <c r="R1845" s="1419"/>
      <c r="S1845" s="34"/>
      <c r="T1845" s="741"/>
      <c r="U1845" s="741"/>
      <c r="V1845" s="66"/>
      <c r="W1845" s="130"/>
      <c r="X1845" s="130"/>
      <c r="Y1845" s="130"/>
      <c r="Z1845" s="130"/>
      <c r="AA1845" s="130"/>
      <c r="AB1845" s="130"/>
      <c r="AC1845" s="130"/>
      <c r="AD1845" s="130"/>
      <c r="AE1845" s="130"/>
    </row>
    <row r="1846" spans="1:31" s="141" customFormat="1" ht="32.25" customHeight="1">
      <c r="A1846" s="650"/>
      <c r="B1846" s="52"/>
      <c r="C1846" s="52"/>
      <c r="D1846" s="1673" t="s">
        <v>1188</v>
      </c>
      <c r="E1846" s="1674"/>
      <c r="F1846" s="1674"/>
      <c r="G1846" s="1674"/>
      <c r="H1846" s="1674"/>
      <c r="I1846" s="1674"/>
      <c r="J1846" s="1674"/>
      <c r="K1846" s="1675"/>
      <c r="L1846" s="1669">
        <f>SUM(L1844:R1845)</f>
        <v>26517000</v>
      </c>
      <c r="M1846" s="1670"/>
      <c r="N1846" s="1670"/>
      <c r="O1846" s="1670"/>
      <c r="P1846" s="1670"/>
      <c r="Q1846" s="1670"/>
      <c r="R1846" s="1671"/>
      <c r="S1846" s="37"/>
      <c r="T1846" s="654"/>
      <c r="U1846" s="654"/>
      <c r="V1846" s="66"/>
      <c r="W1846" s="130"/>
      <c r="X1846" s="130"/>
      <c r="Y1846" s="130"/>
      <c r="Z1846" s="130"/>
      <c r="AA1846" s="130"/>
      <c r="AB1846" s="130"/>
      <c r="AC1846" s="130"/>
      <c r="AD1846" s="130"/>
      <c r="AE1846" s="130"/>
    </row>
    <row r="1847" spans="1:31" s="141" customFormat="1" ht="9" customHeight="1">
      <c r="A1847" s="650"/>
      <c r="B1847" s="52"/>
      <c r="C1847" s="52"/>
      <c r="D1847" s="144"/>
      <c r="E1847" s="144"/>
      <c r="F1847" s="144"/>
      <c r="G1847" s="144"/>
      <c r="H1847" s="144"/>
      <c r="I1847" s="144"/>
      <c r="J1847" s="144"/>
      <c r="K1847" s="144"/>
      <c r="L1847" s="5"/>
      <c r="M1847" s="5"/>
      <c r="N1847" s="5"/>
      <c r="O1847" s="5"/>
      <c r="P1847" s="5"/>
      <c r="Q1847" s="5"/>
      <c r="R1847" s="5"/>
      <c r="S1847" s="37"/>
      <c r="T1847" s="654"/>
      <c r="U1847" s="654"/>
      <c r="V1847" s="66"/>
      <c r="W1847" s="130"/>
      <c r="X1847" s="130"/>
      <c r="Y1847" s="130"/>
      <c r="Z1847" s="130"/>
      <c r="AA1847" s="130"/>
      <c r="AB1847" s="130"/>
      <c r="AC1847" s="130"/>
      <c r="AD1847" s="130"/>
      <c r="AE1847" s="130"/>
    </row>
    <row r="1848" spans="1:31" s="141" customFormat="1" ht="18.75" customHeight="1">
      <c r="A1848" s="650"/>
      <c r="B1848" s="53"/>
      <c r="C1848" s="74" t="s">
        <v>789</v>
      </c>
      <c r="D1848" s="1423" t="s">
        <v>98</v>
      </c>
      <c r="E1848" s="1423"/>
      <c r="F1848" s="1423"/>
      <c r="G1848" s="1423"/>
      <c r="H1848" s="1423"/>
      <c r="I1848" s="1423"/>
      <c r="J1848" s="1423"/>
      <c r="K1848" s="1423"/>
      <c r="L1848" s="1423"/>
      <c r="M1848" s="1423"/>
      <c r="N1848" s="1423"/>
      <c r="O1848" s="1423"/>
      <c r="P1848" s="1423"/>
      <c r="Q1848" s="1423"/>
      <c r="R1848" s="1423"/>
      <c r="S1848" s="1423"/>
      <c r="T1848" s="1423"/>
      <c r="U1848" s="1423"/>
      <c r="V1848" s="66"/>
      <c r="W1848" s="130"/>
      <c r="X1848" s="130"/>
      <c r="Y1848" s="130"/>
      <c r="Z1848" s="130"/>
      <c r="AA1848" s="130"/>
      <c r="AB1848" s="130"/>
      <c r="AC1848" s="130"/>
      <c r="AD1848" s="130"/>
      <c r="AE1848" s="130"/>
    </row>
    <row r="1849" spans="1:31" s="141" customFormat="1" ht="60" customHeight="1">
      <c r="A1849" s="650"/>
      <c r="C1849" s="38"/>
      <c r="D1849" s="1091" t="str">
        <f>"Beban Perjalanan Dinas Tahun "&amp;'2.ISIAN DATA SKPD'!D11&amp;"  dan tahun "&amp;'2.ISIAN DATA SKPD'!D12&amp;" adalah masing-masing sebesar Rp. 0  dan 0 tidak mengalami kenaikan/penurunan sebesar Rp. 0 atau sebesar 0 % dari tahun "&amp;'2.ISIAN DATA SKPD'!D12&amp;" ."</f>
        <v>Beban Perjalanan Dinas Tahun 2017  dan tahun 2016 adalah masing-masing sebesar Rp. 0  dan 0 tidak mengalami kenaikan/penurunan sebesar Rp. 0 atau sebesar 0 % dari tahun 2016 .</v>
      </c>
      <c r="E1849" s="1091"/>
      <c r="F1849" s="1091"/>
      <c r="G1849" s="1091"/>
      <c r="H1849" s="1091"/>
      <c r="I1849" s="1091"/>
      <c r="J1849" s="1091"/>
      <c r="K1849" s="1091"/>
      <c r="L1849" s="1091"/>
      <c r="M1849" s="1091"/>
      <c r="N1849" s="1091"/>
      <c r="O1849" s="1091"/>
      <c r="P1849" s="1091"/>
      <c r="Q1849" s="1091"/>
      <c r="R1849" s="1091"/>
      <c r="S1849" s="1091"/>
      <c r="T1849" s="1091"/>
      <c r="U1849" s="1091"/>
      <c r="V1849" s="66"/>
      <c r="W1849" s="130"/>
      <c r="X1849" s="130"/>
      <c r="Y1849" s="130"/>
      <c r="Z1849" s="130"/>
      <c r="AA1849" s="130"/>
      <c r="AB1849" s="130"/>
      <c r="AC1849" s="130"/>
      <c r="AD1849" s="130"/>
      <c r="AE1849" s="130"/>
    </row>
    <row r="1850" spans="1:22" s="141" customFormat="1" ht="59.25" customHeight="1">
      <c r="A1850" s="650"/>
      <c r="C1850" s="38"/>
      <c r="D1850" s="1091" t="str">
        <f>"Beban tersebut merupakan beban yang terjadi untuk perjalanan dinas dalam rangka pelaksanaan tugas, fungsi, dan jabatan. Rincian Beban Perjalanan Dinas untuk Tahun "&amp;'2.ISIAN DATA SKPD'!D11&amp;" adalah sebagai berikut: "</f>
        <v>Beban tersebut merupakan beban yang terjadi untuk perjalanan dinas dalam rangka pelaksanaan tugas, fungsi, dan jabatan. Rincian Beban Perjalanan Dinas untuk Tahun 2017 adalah sebagai berikut: </v>
      </c>
      <c r="E1850" s="1091"/>
      <c r="F1850" s="1091"/>
      <c r="G1850" s="1091"/>
      <c r="H1850" s="1091"/>
      <c r="I1850" s="1091"/>
      <c r="J1850" s="1091"/>
      <c r="K1850" s="1091"/>
      <c r="L1850" s="1091"/>
      <c r="M1850" s="1091"/>
      <c r="N1850" s="1091"/>
      <c r="O1850" s="1091"/>
      <c r="P1850" s="1091"/>
      <c r="Q1850" s="1091"/>
      <c r="R1850" s="1091"/>
      <c r="S1850" s="1091"/>
      <c r="T1850" s="1091"/>
      <c r="U1850" s="1091"/>
      <c r="V1850" s="52"/>
    </row>
    <row r="1851" spans="1:22" s="141" customFormat="1" ht="85.5" customHeight="1">
      <c r="A1851" s="650"/>
      <c r="C1851" s="38"/>
      <c r="D1851" s="702"/>
      <c r="E1851" s="702"/>
      <c r="F1851" s="702"/>
      <c r="G1851" s="702"/>
      <c r="H1851" s="702"/>
      <c r="I1851" s="702"/>
      <c r="J1851" s="702"/>
      <c r="K1851" s="702"/>
      <c r="L1851" s="702"/>
      <c r="M1851" s="702"/>
      <c r="N1851" s="702"/>
      <c r="O1851" s="702"/>
      <c r="P1851" s="702"/>
      <c r="Q1851" s="702"/>
      <c r="R1851" s="702"/>
      <c r="S1851" s="702"/>
      <c r="T1851" s="702"/>
      <c r="U1851" s="702"/>
      <c r="V1851" s="52"/>
    </row>
    <row r="1852" spans="1:22" s="141" customFormat="1" ht="21.75" customHeight="1">
      <c r="A1852" s="650"/>
      <c r="C1852" s="65"/>
      <c r="D1852" s="1425" t="str">
        <f>"Rincian Beban Perjalanan Dinas Tahun "&amp;'2.ISIAN DATA SKPD'!D11&amp;""</f>
        <v>Rincian Beban Perjalanan Dinas Tahun 2017</v>
      </c>
      <c r="E1852" s="1425"/>
      <c r="F1852" s="1425"/>
      <c r="G1852" s="1425"/>
      <c r="H1852" s="1425"/>
      <c r="I1852" s="1425"/>
      <c r="J1852" s="1425"/>
      <c r="K1852" s="1425"/>
      <c r="L1852" s="1425"/>
      <c r="M1852" s="1425"/>
      <c r="N1852" s="1425"/>
      <c r="O1852" s="1425"/>
      <c r="P1852" s="1425"/>
      <c r="Q1852" s="1425"/>
      <c r="R1852" s="1425"/>
      <c r="S1852" s="65"/>
      <c r="T1852" s="65"/>
      <c r="U1852" s="65"/>
      <c r="V1852" s="52"/>
    </row>
    <row r="1853" spans="1:22" s="141" customFormat="1" ht="22.5" customHeight="1">
      <c r="A1853" s="650"/>
      <c r="B1853" s="14"/>
      <c r="C1853" s="14"/>
      <c r="D1853" s="1126" t="s">
        <v>9</v>
      </c>
      <c r="E1853" s="1127"/>
      <c r="F1853" s="1127"/>
      <c r="G1853" s="1127"/>
      <c r="H1853" s="1127"/>
      <c r="I1853" s="1127"/>
      <c r="J1853" s="1127"/>
      <c r="K1853" s="1128"/>
      <c r="L1853" s="1324" t="s">
        <v>10</v>
      </c>
      <c r="M1853" s="1324"/>
      <c r="N1853" s="1324"/>
      <c r="O1853" s="1324"/>
      <c r="P1853" s="1324"/>
      <c r="Q1853" s="1324"/>
      <c r="R1853" s="1324"/>
      <c r="S1853" s="14"/>
      <c r="T1853" s="808"/>
      <c r="U1853" s="808"/>
      <c r="V1853" s="52"/>
    </row>
    <row r="1854" spans="1:22" s="141" customFormat="1" ht="18.75" customHeight="1">
      <c r="A1854" s="650"/>
      <c r="B1854" s="62"/>
      <c r="C1854" s="63"/>
      <c r="D1854" s="1123" t="s">
        <v>272</v>
      </c>
      <c r="E1854" s="1545"/>
      <c r="F1854" s="1545"/>
      <c r="G1854" s="1545"/>
      <c r="H1854" s="1545"/>
      <c r="I1854" s="1545"/>
      <c r="J1854" s="1545"/>
      <c r="K1854" s="1546"/>
      <c r="L1854" s="1417">
        <f>'5.LO'!E376</f>
        <v>6860000</v>
      </c>
      <c r="M1854" s="1418"/>
      <c r="N1854" s="1418"/>
      <c r="O1854" s="1418"/>
      <c r="P1854" s="1418"/>
      <c r="Q1854" s="1418"/>
      <c r="R1854" s="1419"/>
      <c r="S1854" s="34"/>
      <c r="T1854" s="808"/>
      <c r="U1854" s="808"/>
      <c r="V1854" s="52"/>
    </row>
    <row r="1855" spans="1:22" s="141" customFormat="1" ht="34.5" customHeight="1">
      <c r="A1855" s="650"/>
      <c r="B1855" s="62"/>
      <c r="C1855" s="63"/>
      <c r="D1855" s="1740" t="s">
        <v>1128</v>
      </c>
      <c r="E1855" s="1741"/>
      <c r="F1855" s="1741"/>
      <c r="G1855" s="1741"/>
      <c r="H1855" s="1741"/>
      <c r="I1855" s="1741"/>
      <c r="J1855" s="1741"/>
      <c r="K1855" s="1742"/>
      <c r="L1855" s="1417">
        <f>'5.LO'!E379</f>
        <v>0</v>
      </c>
      <c r="M1855" s="1418"/>
      <c r="N1855" s="1418"/>
      <c r="O1855" s="1418"/>
      <c r="P1855" s="1418"/>
      <c r="Q1855" s="1418"/>
      <c r="R1855" s="1419"/>
      <c r="S1855" s="34"/>
      <c r="T1855" s="808"/>
      <c r="U1855" s="808"/>
      <c r="V1855" s="52"/>
    </row>
    <row r="1856" spans="1:22" s="141" customFormat="1" ht="31.5" customHeight="1">
      <c r="A1856" s="1516"/>
      <c r="B1856" s="62"/>
      <c r="C1856" s="63"/>
      <c r="D1856" s="1426" t="s">
        <v>1189</v>
      </c>
      <c r="E1856" s="1427"/>
      <c r="F1856" s="1427"/>
      <c r="G1856" s="1427"/>
      <c r="H1856" s="1427"/>
      <c r="I1856" s="1427"/>
      <c r="J1856" s="1427"/>
      <c r="K1856" s="1428"/>
      <c r="L1856" s="1417">
        <f>SUM(L1854:R1855)</f>
        <v>6860000</v>
      </c>
      <c r="M1856" s="1418"/>
      <c r="N1856" s="1418"/>
      <c r="O1856" s="1418"/>
      <c r="P1856" s="1418"/>
      <c r="Q1856" s="1418"/>
      <c r="R1856" s="1419"/>
      <c r="S1856" s="34"/>
      <c r="T1856" s="741"/>
      <c r="U1856" s="741"/>
      <c r="V1856" s="52"/>
    </row>
    <row r="1857" spans="1:22" s="141" customFormat="1" ht="10.5" customHeight="1">
      <c r="A1857" s="1516"/>
      <c r="B1857" s="62"/>
      <c r="C1857" s="63"/>
      <c r="D1857" s="63"/>
      <c r="E1857" s="63"/>
      <c r="F1857" s="63"/>
      <c r="G1857" s="63"/>
      <c r="H1857" s="63"/>
      <c r="I1857" s="63"/>
      <c r="J1857" s="34"/>
      <c r="K1857" s="34"/>
      <c r="L1857" s="34"/>
      <c r="M1857" s="34"/>
      <c r="N1857" s="34"/>
      <c r="O1857" s="34"/>
      <c r="P1857" s="34"/>
      <c r="Q1857" s="34"/>
      <c r="R1857" s="34"/>
      <c r="S1857" s="34"/>
      <c r="T1857" s="741"/>
      <c r="U1857" s="741"/>
      <c r="V1857" s="52"/>
    </row>
    <row r="1858" spans="1:22" s="141" customFormat="1" ht="20.25" customHeight="1">
      <c r="A1858" s="114"/>
      <c r="B1858" s="62"/>
      <c r="C1858" s="14" t="s">
        <v>790</v>
      </c>
      <c r="D1858" s="1423" t="s">
        <v>797</v>
      </c>
      <c r="E1858" s="1423"/>
      <c r="F1858" s="1423"/>
      <c r="G1858" s="1423"/>
      <c r="H1858" s="1423"/>
      <c r="I1858" s="1423"/>
      <c r="J1858" s="1423"/>
      <c r="K1858" s="1423"/>
      <c r="L1858" s="1423"/>
      <c r="M1858" s="1423"/>
      <c r="N1858" s="1423"/>
      <c r="O1858" s="1423"/>
      <c r="P1858" s="1423"/>
      <c r="Q1858" s="1423"/>
      <c r="R1858" s="1423"/>
      <c r="S1858" s="1423"/>
      <c r="T1858" s="1423"/>
      <c r="U1858" s="1423"/>
      <c r="V1858" s="52"/>
    </row>
    <row r="1859" spans="1:22" s="141" customFormat="1" ht="19.5" customHeight="1">
      <c r="A1859" s="114"/>
      <c r="B1859" s="62"/>
      <c r="C1859" s="14" t="s">
        <v>1191</v>
      </c>
      <c r="D1859" s="1423" t="s">
        <v>798</v>
      </c>
      <c r="E1859" s="1423"/>
      <c r="F1859" s="1423"/>
      <c r="G1859" s="1423"/>
      <c r="H1859" s="1423"/>
      <c r="I1859" s="1423"/>
      <c r="J1859" s="1423"/>
      <c r="K1859" s="1423"/>
      <c r="L1859" s="1423"/>
      <c r="M1859" s="1423"/>
      <c r="N1859" s="1423"/>
      <c r="O1859" s="1423"/>
      <c r="P1859" s="1423"/>
      <c r="Q1859" s="1423"/>
      <c r="R1859" s="1423"/>
      <c r="S1859" s="1423"/>
      <c r="T1859" s="1423"/>
      <c r="U1859" s="1423"/>
      <c r="V1859" s="52"/>
    </row>
    <row r="1860" spans="1:22" s="141" customFormat="1" ht="24" customHeight="1">
      <c r="A1860" s="650"/>
      <c r="B1860" s="53"/>
      <c r="C1860" s="74" t="s">
        <v>1192</v>
      </c>
      <c r="D1860" s="1423" t="s">
        <v>1190</v>
      </c>
      <c r="E1860" s="1423"/>
      <c r="F1860" s="1423"/>
      <c r="G1860" s="1423"/>
      <c r="H1860" s="1423"/>
      <c r="I1860" s="1423"/>
      <c r="J1860" s="1423"/>
      <c r="K1860" s="1423"/>
      <c r="L1860" s="1423"/>
      <c r="M1860" s="1423"/>
      <c r="N1860" s="1423"/>
      <c r="O1860" s="1423"/>
      <c r="P1860" s="1423"/>
      <c r="Q1860" s="1423"/>
      <c r="R1860" s="1423"/>
      <c r="S1860" s="1423"/>
      <c r="T1860" s="1423"/>
      <c r="U1860" s="1423"/>
      <c r="V1860" s="52"/>
    </row>
    <row r="1861" spans="1:22" s="141" customFormat="1" ht="60.75" customHeight="1">
      <c r="A1861" s="650"/>
      <c r="C1861" s="38"/>
      <c r="D1861" s="1091" t="str">
        <f>"Beban Hibah / Barang untuk Diserahkan kepada Masyarakat Tahun "&amp;'2.ISIAN DATA SKPD'!D11&amp;" dan tahun "&amp;'2.ISIAN DATA SKPD'!D12&amp;" adalah masing-masing sebesar Rp. 0 dan 0 mengalami kenaikan/penurunan sebesar Rp. 0 atau sebesar 0 % dari tahun "&amp;'2.ISIAN DATA SKPD'!D12&amp;"."</f>
        <v>Beban Hibah / Barang untuk Diserahkan kepada Masyarakat Tahun 2017 dan tahun 2016 adalah masing-masing sebesar Rp. 0 dan 0 mengalami kenaikan/penurunan sebesar Rp. 0 atau sebesar 0 % dari tahun 2016.</v>
      </c>
      <c r="E1861" s="1091"/>
      <c r="F1861" s="1091"/>
      <c r="G1861" s="1091"/>
      <c r="H1861" s="1091"/>
      <c r="I1861" s="1091"/>
      <c r="J1861" s="1091"/>
      <c r="K1861" s="1091"/>
      <c r="L1861" s="1091"/>
      <c r="M1861" s="1091"/>
      <c r="N1861" s="1091"/>
      <c r="O1861" s="1091"/>
      <c r="P1861" s="1091"/>
      <c r="Q1861" s="1091"/>
      <c r="R1861" s="1091"/>
      <c r="S1861" s="1091"/>
      <c r="T1861" s="1091"/>
      <c r="U1861" s="1091"/>
      <c r="V1861" s="52"/>
    </row>
    <row r="1862" spans="1:22" s="141" customFormat="1" ht="60" customHeight="1">
      <c r="A1862" s="650"/>
      <c r="C1862" s="38"/>
      <c r="D1862" s="1091" t="s">
        <v>1193</v>
      </c>
      <c r="E1862" s="1091"/>
      <c r="F1862" s="1091"/>
      <c r="G1862" s="1091"/>
      <c r="H1862" s="1091"/>
      <c r="I1862" s="1091"/>
      <c r="J1862" s="1091"/>
      <c r="K1862" s="1091"/>
      <c r="L1862" s="1091"/>
      <c r="M1862" s="1091"/>
      <c r="N1862" s="1091"/>
      <c r="O1862" s="1091"/>
      <c r="P1862" s="1091"/>
      <c r="Q1862" s="1091"/>
      <c r="R1862" s="1091"/>
      <c r="S1862" s="1091"/>
      <c r="T1862" s="1091"/>
      <c r="U1862" s="1091"/>
      <c r="V1862" s="52"/>
    </row>
    <row r="1863" spans="1:22" s="141" customFormat="1" ht="29.25" customHeight="1">
      <c r="A1863" s="650"/>
      <c r="C1863" s="38"/>
      <c r="D1863" s="1091" t="str">
        <f>"Rincian Beban Barang untuk Diserahkan kepada Masyarakat untuk Tahun "&amp;'2.ISIAN DATA SKPD'!D11&amp;" adalah sebagai berikut: "</f>
        <v>Rincian Beban Barang untuk Diserahkan kepada Masyarakat untuk Tahun 2017 adalah sebagai berikut: </v>
      </c>
      <c r="E1863" s="1091"/>
      <c r="F1863" s="1091"/>
      <c r="G1863" s="1091"/>
      <c r="H1863" s="1091"/>
      <c r="I1863" s="1091"/>
      <c r="J1863" s="1091"/>
      <c r="K1863" s="1091"/>
      <c r="L1863" s="1091"/>
      <c r="M1863" s="1091"/>
      <c r="N1863" s="1091"/>
      <c r="O1863" s="1091"/>
      <c r="P1863" s="1091"/>
      <c r="Q1863" s="1091"/>
      <c r="R1863" s="1091"/>
      <c r="S1863" s="1091"/>
      <c r="T1863" s="1091"/>
      <c r="U1863" s="1091"/>
      <c r="V1863" s="52"/>
    </row>
    <row r="1864" spans="1:22" s="141" customFormat="1" ht="7.5" customHeight="1">
      <c r="A1864" s="650"/>
      <c r="C1864" s="38"/>
      <c r="D1864" s="702"/>
      <c r="E1864" s="702"/>
      <c r="F1864" s="702"/>
      <c r="G1864" s="702"/>
      <c r="H1864" s="702"/>
      <c r="I1864" s="702"/>
      <c r="J1864" s="702"/>
      <c r="K1864" s="702"/>
      <c r="L1864" s="702"/>
      <c r="M1864" s="702"/>
      <c r="N1864" s="702"/>
      <c r="O1864" s="702"/>
      <c r="P1864" s="702"/>
      <c r="Q1864" s="702"/>
      <c r="R1864" s="702"/>
      <c r="S1864" s="702"/>
      <c r="T1864" s="702"/>
      <c r="U1864" s="702"/>
      <c r="V1864" s="52"/>
    </row>
    <row r="1865" spans="1:22" s="141" customFormat="1" ht="22.5" customHeight="1">
      <c r="A1865" s="650"/>
      <c r="C1865" s="79"/>
      <c r="D1865" s="1739" t="str">
        <f>" Beban Hibah  Tahun "&amp;'2.ISIAN DATA SKPD'!D11&amp;""</f>
        <v> Beban Hibah  Tahun 2017</v>
      </c>
      <c r="E1865" s="1739"/>
      <c r="F1865" s="1739"/>
      <c r="G1865" s="1739"/>
      <c r="H1865" s="1739"/>
      <c r="I1865" s="1739"/>
      <c r="J1865" s="1739"/>
      <c r="K1865" s="1739"/>
      <c r="L1865" s="1739"/>
      <c r="M1865" s="1739"/>
      <c r="N1865" s="1739"/>
      <c r="O1865" s="1739"/>
      <c r="P1865" s="1739"/>
      <c r="Q1865" s="1739"/>
      <c r="R1865" s="1739"/>
      <c r="S1865" s="79"/>
      <c r="T1865" s="79"/>
      <c r="U1865" s="79"/>
      <c r="V1865" s="52"/>
    </row>
    <row r="1866" spans="1:22" s="141" customFormat="1" ht="15.75" customHeight="1">
      <c r="A1866" s="650"/>
      <c r="B1866" s="14"/>
      <c r="C1866" s="14"/>
      <c r="D1866" s="1126" t="s">
        <v>9</v>
      </c>
      <c r="E1866" s="1127"/>
      <c r="F1866" s="1127"/>
      <c r="G1866" s="1127"/>
      <c r="H1866" s="1127"/>
      <c r="I1866" s="1127"/>
      <c r="J1866" s="1127"/>
      <c r="K1866" s="1128"/>
      <c r="L1866" s="1324" t="s">
        <v>10</v>
      </c>
      <c r="M1866" s="1324"/>
      <c r="N1866" s="1324"/>
      <c r="O1866" s="1324"/>
      <c r="P1866" s="1324"/>
      <c r="Q1866" s="1324"/>
      <c r="R1866" s="1324"/>
      <c r="S1866" s="14"/>
      <c r="T1866" s="808"/>
      <c r="U1866" s="808"/>
      <c r="V1866" s="52"/>
    </row>
    <row r="1867" spans="1:22" s="141" customFormat="1" ht="31.5" customHeight="1">
      <c r="A1867" s="83"/>
      <c r="B1867" s="12"/>
      <c r="C1867" s="58"/>
      <c r="D1867" s="1123" t="s">
        <v>1131</v>
      </c>
      <c r="E1867" s="1124"/>
      <c r="F1867" s="1124"/>
      <c r="G1867" s="1124"/>
      <c r="H1867" s="1124"/>
      <c r="I1867" s="1124"/>
      <c r="J1867" s="1124"/>
      <c r="K1867" s="1125"/>
      <c r="L1867" s="1417">
        <f>'5.LO'!E385</f>
        <v>2138640000</v>
      </c>
      <c r="M1867" s="1418"/>
      <c r="N1867" s="1418"/>
      <c r="O1867" s="1418"/>
      <c r="P1867" s="1418"/>
      <c r="Q1867" s="1418"/>
      <c r="R1867" s="1419"/>
      <c r="S1867" s="34"/>
      <c r="T1867" s="741"/>
      <c r="U1867" s="741"/>
      <c r="V1867" s="52"/>
    </row>
    <row r="1868" spans="1:22" s="141" customFormat="1" ht="42.75" customHeight="1">
      <c r="A1868" s="83"/>
      <c r="B1868" s="12"/>
      <c r="C1868" s="58"/>
      <c r="D1868" s="1123" t="s">
        <v>1132</v>
      </c>
      <c r="E1868" s="1124"/>
      <c r="F1868" s="1124"/>
      <c r="G1868" s="1124"/>
      <c r="H1868" s="1124"/>
      <c r="I1868" s="1124"/>
      <c r="J1868" s="1124"/>
      <c r="K1868" s="1125"/>
      <c r="L1868" s="1417">
        <f>'5.LO'!E387</f>
        <v>0</v>
      </c>
      <c r="M1868" s="1418"/>
      <c r="N1868" s="1418"/>
      <c r="O1868" s="1418"/>
      <c r="P1868" s="1418"/>
      <c r="Q1868" s="1418"/>
      <c r="R1868" s="1419"/>
      <c r="S1868" s="34"/>
      <c r="T1868" s="741"/>
      <c r="U1868" s="741"/>
      <c r="V1868" s="52"/>
    </row>
    <row r="1869" spans="1:22" s="141" customFormat="1" ht="44.25" customHeight="1">
      <c r="A1869" s="83"/>
      <c r="B1869" s="12"/>
      <c r="C1869" s="58"/>
      <c r="D1869" s="1123" t="s">
        <v>1134</v>
      </c>
      <c r="E1869" s="1124"/>
      <c r="F1869" s="1124"/>
      <c r="G1869" s="1124"/>
      <c r="H1869" s="1124"/>
      <c r="I1869" s="1124"/>
      <c r="J1869" s="1124"/>
      <c r="K1869" s="1125"/>
      <c r="L1869" s="1417">
        <f>'5.LO'!E389</f>
        <v>0</v>
      </c>
      <c r="M1869" s="1418"/>
      <c r="N1869" s="1418"/>
      <c r="O1869" s="1418"/>
      <c r="P1869" s="1418"/>
      <c r="Q1869" s="1418"/>
      <c r="R1869" s="1419"/>
      <c r="S1869" s="34"/>
      <c r="T1869" s="741"/>
      <c r="U1869" s="741"/>
      <c r="V1869" s="52"/>
    </row>
    <row r="1870" spans="1:22" s="141" customFormat="1" ht="23.25" customHeight="1">
      <c r="A1870" s="83"/>
      <c r="B1870" s="12"/>
      <c r="C1870" s="58"/>
      <c r="D1870" s="1123" t="s">
        <v>1138</v>
      </c>
      <c r="E1870" s="1124"/>
      <c r="F1870" s="1124"/>
      <c r="G1870" s="1124"/>
      <c r="H1870" s="1124"/>
      <c r="I1870" s="1124"/>
      <c r="J1870" s="1124"/>
      <c r="K1870" s="1125"/>
      <c r="L1870" s="1417">
        <f>'5.LO'!E393</f>
        <v>0</v>
      </c>
      <c r="M1870" s="1418"/>
      <c r="N1870" s="1418"/>
      <c r="O1870" s="1418"/>
      <c r="P1870" s="1418"/>
      <c r="Q1870" s="1418"/>
      <c r="R1870" s="1419"/>
      <c r="S1870" s="34"/>
      <c r="T1870" s="741"/>
      <c r="U1870" s="741"/>
      <c r="V1870" s="52"/>
    </row>
    <row r="1871" spans="1:22" s="141" customFormat="1" ht="52.5" customHeight="1">
      <c r="A1871" s="83"/>
      <c r="B1871" s="12"/>
      <c r="C1871" s="58"/>
      <c r="D1871" s="1123" t="s">
        <v>1140</v>
      </c>
      <c r="E1871" s="1124"/>
      <c r="F1871" s="1124"/>
      <c r="G1871" s="1124"/>
      <c r="H1871" s="1124"/>
      <c r="I1871" s="1124"/>
      <c r="J1871" s="1124"/>
      <c r="K1871" s="1125"/>
      <c r="L1871" s="1417">
        <f>'5.LO'!E395</f>
        <v>0</v>
      </c>
      <c r="M1871" s="1418"/>
      <c r="N1871" s="1418"/>
      <c r="O1871" s="1418"/>
      <c r="P1871" s="1418"/>
      <c r="Q1871" s="1418"/>
      <c r="R1871" s="1419"/>
      <c r="S1871" s="34"/>
      <c r="T1871" s="741"/>
      <c r="U1871" s="741"/>
      <c r="V1871" s="52"/>
    </row>
    <row r="1872" spans="1:22" s="141" customFormat="1" ht="34.5" customHeight="1">
      <c r="A1872" s="82"/>
      <c r="B1872" s="12"/>
      <c r="C1872" s="12"/>
      <c r="D1872" s="1426" t="s">
        <v>1194</v>
      </c>
      <c r="E1872" s="1427"/>
      <c r="F1872" s="1427"/>
      <c r="G1872" s="1427"/>
      <c r="H1872" s="1427"/>
      <c r="I1872" s="1427"/>
      <c r="J1872" s="1427"/>
      <c r="K1872" s="1428"/>
      <c r="L1872" s="1429">
        <f>SUM(L1867:R1871)</f>
        <v>2138640000</v>
      </c>
      <c r="M1872" s="1430"/>
      <c r="N1872" s="1430"/>
      <c r="O1872" s="1430"/>
      <c r="P1872" s="1430"/>
      <c r="Q1872" s="1430"/>
      <c r="R1872" s="1431"/>
      <c r="S1872" s="12"/>
      <c r="T1872" s="741"/>
      <c r="U1872" s="741"/>
      <c r="V1872" s="52"/>
    </row>
    <row r="1873" spans="1:22" s="141" customFormat="1" ht="10.5" customHeight="1">
      <c r="A1873" s="650"/>
      <c r="B1873" s="61"/>
      <c r="C1873" s="61"/>
      <c r="D1873" s="61"/>
      <c r="E1873" s="61"/>
      <c r="F1873" s="61"/>
      <c r="G1873" s="61"/>
      <c r="H1873" s="61"/>
      <c r="I1873" s="61"/>
      <c r="J1873" s="5"/>
      <c r="K1873" s="61"/>
      <c r="L1873" s="61"/>
      <c r="M1873" s="61"/>
      <c r="N1873" s="61"/>
      <c r="O1873" s="5"/>
      <c r="P1873" s="61"/>
      <c r="Q1873" s="61"/>
      <c r="R1873" s="61"/>
      <c r="S1873" s="61"/>
      <c r="T1873" s="683"/>
      <c r="U1873" s="683"/>
      <c r="V1873" s="52"/>
    </row>
    <row r="1874" spans="1:22" s="141" customFormat="1" ht="16.5" customHeight="1">
      <c r="A1874" s="650"/>
      <c r="B1874" s="53"/>
      <c r="C1874" s="74" t="s">
        <v>772</v>
      </c>
      <c r="D1874" s="1423" t="s">
        <v>172</v>
      </c>
      <c r="E1874" s="1423"/>
      <c r="F1874" s="1423"/>
      <c r="G1874" s="1423"/>
      <c r="H1874" s="1423"/>
      <c r="I1874" s="1423"/>
      <c r="J1874" s="1423"/>
      <c r="K1874" s="1423"/>
      <c r="L1874" s="1423"/>
      <c r="M1874" s="1423"/>
      <c r="N1874" s="1423"/>
      <c r="O1874" s="1423"/>
      <c r="P1874" s="1423"/>
      <c r="Q1874" s="1423"/>
      <c r="R1874" s="1423"/>
      <c r="S1874" s="1423"/>
      <c r="T1874" s="1423"/>
      <c r="U1874" s="1423"/>
      <c r="V1874" s="52"/>
    </row>
    <row r="1875" spans="1:22" s="141" customFormat="1" ht="64.5" customHeight="1">
      <c r="A1875" s="650"/>
      <c r="C1875" s="38"/>
      <c r="D1875" s="1091" t="str">
        <f>"Beban Bantuan Sosial Tahun "&amp;'2.ISIAN DATA SKPD'!D11&amp;" dan tahun "&amp;('2.ISIAN DATA SKPD'!D12)&amp;"  adalah masing-masing sebesar Rp. 0 dan 0 tidak mengalami kenaikan/penurunan sebesar Rp. 0 atau sebesar 0  dari tahun "&amp;'2.ISIAN DATA SKPD'!D12&amp;"."</f>
        <v>Beban Bantuan Sosial Tahun 2017 dan tahun 2016  adalah masing-masing sebesar Rp. 0 dan 0 tidak mengalami kenaikan/penurunan sebesar Rp. 0 atau sebesar 0  dari tahun 2016.</v>
      </c>
      <c r="E1875" s="1091"/>
      <c r="F1875" s="1091"/>
      <c r="G1875" s="1091"/>
      <c r="H1875" s="1091"/>
      <c r="I1875" s="1091"/>
      <c r="J1875" s="1091"/>
      <c r="K1875" s="1091"/>
      <c r="L1875" s="1091"/>
      <c r="M1875" s="1091"/>
      <c r="N1875" s="1091"/>
      <c r="O1875" s="1091"/>
      <c r="P1875" s="1091"/>
      <c r="Q1875" s="1091"/>
      <c r="R1875" s="1091"/>
      <c r="S1875" s="1091"/>
      <c r="T1875" s="1091"/>
      <c r="U1875" s="1091"/>
      <c r="V1875" s="52"/>
    </row>
    <row r="1876" spans="1:22" s="141" customFormat="1" ht="58.5" customHeight="1">
      <c r="A1876" s="650"/>
      <c r="C1876" s="38"/>
      <c r="D1876" s="1091" t="str">
        <f>"Beban bantuan sosial merupakan beban pemerintah dalam bentuk uang/barang atau jasa kepada masyarakat untuk menghindari terjadinya risiko sosial dan bersifat selektif. Rincian Beban Bantuan Sosial untuk Tahun "&amp;'2.ISIAN DATA SKPD'!D11&amp;" adalah sebagai berikut: "</f>
        <v>Beban bantuan sosial merupakan beban pemerintah dalam bentuk uang/barang atau jasa kepada masyarakat untuk menghindari terjadinya risiko sosial dan bersifat selektif. Rincian Beban Bantuan Sosial untuk Tahun 2017 adalah sebagai berikut: </v>
      </c>
      <c r="E1876" s="1091"/>
      <c r="F1876" s="1091"/>
      <c r="G1876" s="1091"/>
      <c r="H1876" s="1091"/>
      <c r="I1876" s="1091"/>
      <c r="J1876" s="1091"/>
      <c r="K1876" s="1091"/>
      <c r="L1876" s="1091"/>
      <c r="M1876" s="1091"/>
      <c r="N1876" s="1091"/>
      <c r="O1876" s="1091"/>
      <c r="P1876" s="1091"/>
      <c r="Q1876" s="1091"/>
      <c r="R1876" s="1091"/>
      <c r="S1876" s="1091"/>
      <c r="T1876" s="1091"/>
      <c r="U1876" s="1091"/>
      <c r="V1876" s="52"/>
    </row>
    <row r="1877" spans="1:22" s="141" customFormat="1" ht="7.5" customHeight="1">
      <c r="A1877" s="650"/>
      <c r="C1877" s="38"/>
      <c r="D1877" s="702"/>
      <c r="E1877" s="702"/>
      <c r="F1877" s="702"/>
      <c r="G1877" s="702"/>
      <c r="H1877" s="702"/>
      <c r="I1877" s="702"/>
      <c r="J1877" s="702"/>
      <c r="K1877" s="702"/>
      <c r="L1877" s="702"/>
      <c r="M1877" s="702"/>
      <c r="N1877" s="702"/>
      <c r="O1877" s="702"/>
      <c r="P1877" s="702"/>
      <c r="Q1877" s="702"/>
      <c r="R1877" s="702"/>
      <c r="S1877" s="702"/>
      <c r="T1877" s="702"/>
      <c r="U1877" s="702"/>
      <c r="V1877" s="52"/>
    </row>
    <row r="1878" spans="1:22" s="141" customFormat="1" ht="18" customHeight="1">
      <c r="A1878" s="650"/>
      <c r="C1878" s="65"/>
      <c r="D1878" s="1425" t="str">
        <f>"Rincian Beban Bantuan Sosial Tahun "&amp;'2.ISIAN DATA SKPD'!D11&amp;""</f>
        <v>Rincian Beban Bantuan Sosial Tahun 2017</v>
      </c>
      <c r="E1878" s="1425"/>
      <c r="F1878" s="1425"/>
      <c r="G1878" s="1425"/>
      <c r="H1878" s="1425"/>
      <c r="I1878" s="1425"/>
      <c r="J1878" s="1425"/>
      <c r="K1878" s="1425"/>
      <c r="L1878" s="1425"/>
      <c r="M1878" s="1425"/>
      <c r="N1878" s="1425"/>
      <c r="O1878" s="1425"/>
      <c r="P1878" s="1425"/>
      <c r="Q1878" s="1425"/>
      <c r="R1878" s="1425"/>
      <c r="S1878" s="65"/>
      <c r="T1878" s="65"/>
      <c r="U1878" s="65"/>
      <c r="V1878" s="52"/>
    </row>
    <row r="1879" spans="1:22" s="141" customFormat="1" ht="18" customHeight="1">
      <c r="A1879" s="650"/>
      <c r="B1879" s="64"/>
      <c r="C1879" s="64"/>
      <c r="D1879" s="1126" t="s">
        <v>9</v>
      </c>
      <c r="E1879" s="1127"/>
      <c r="F1879" s="1127"/>
      <c r="G1879" s="1127"/>
      <c r="H1879" s="1127"/>
      <c r="I1879" s="1127"/>
      <c r="J1879" s="1127"/>
      <c r="K1879" s="1128"/>
      <c r="L1879" s="1324" t="s">
        <v>10</v>
      </c>
      <c r="M1879" s="1324"/>
      <c r="N1879" s="1324"/>
      <c r="O1879" s="1324"/>
      <c r="P1879" s="1324"/>
      <c r="Q1879" s="1324"/>
      <c r="R1879" s="1324"/>
      <c r="S1879" s="64"/>
      <c r="T1879" s="64"/>
      <c r="U1879" s="64"/>
      <c r="V1879" s="52"/>
    </row>
    <row r="1880" spans="1:22" s="141" customFormat="1" ht="50.25" customHeight="1">
      <c r="A1880" s="650"/>
      <c r="B1880" s="64"/>
      <c r="C1880" s="64"/>
      <c r="D1880" s="1123" t="s">
        <v>1144</v>
      </c>
      <c r="E1880" s="1124"/>
      <c r="F1880" s="1124"/>
      <c r="G1880" s="1124"/>
      <c r="H1880" s="1124"/>
      <c r="I1880" s="1124"/>
      <c r="J1880" s="1124"/>
      <c r="K1880" s="1125"/>
      <c r="L1880" s="1417">
        <f>'5.LO'!E400</f>
        <v>0</v>
      </c>
      <c r="M1880" s="1418"/>
      <c r="N1880" s="1418"/>
      <c r="O1880" s="1418"/>
      <c r="P1880" s="1418"/>
      <c r="Q1880" s="1418"/>
      <c r="R1880" s="1419"/>
      <c r="S1880" s="64"/>
      <c r="T1880" s="64"/>
      <c r="U1880" s="64"/>
      <c r="V1880" s="52"/>
    </row>
    <row r="1881" spans="1:22" s="141" customFormat="1" ht="33.75" customHeight="1">
      <c r="A1881" s="1516"/>
      <c r="B1881" s="62"/>
      <c r="C1881" s="63"/>
      <c r="D1881" s="1123" t="s">
        <v>1147</v>
      </c>
      <c r="E1881" s="1124"/>
      <c r="F1881" s="1124"/>
      <c r="G1881" s="1124"/>
      <c r="H1881" s="1124"/>
      <c r="I1881" s="1124"/>
      <c r="J1881" s="1124"/>
      <c r="K1881" s="1125"/>
      <c r="L1881" s="1417">
        <f>'5.LO'!E403</f>
        <v>0</v>
      </c>
      <c r="M1881" s="1418"/>
      <c r="N1881" s="1418"/>
      <c r="O1881" s="1418"/>
      <c r="P1881" s="1418"/>
      <c r="Q1881" s="1418"/>
      <c r="R1881" s="1419"/>
      <c r="S1881" s="13"/>
      <c r="T1881" s="741"/>
      <c r="U1881" s="741"/>
      <c r="V1881" s="52"/>
    </row>
    <row r="1882" spans="1:22" s="141" customFormat="1" ht="27.75" customHeight="1">
      <c r="A1882" s="1516"/>
      <c r="B1882" s="62"/>
      <c r="C1882" s="63"/>
      <c r="D1882" s="1426" t="s">
        <v>1195</v>
      </c>
      <c r="E1882" s="1427"/>
      <c r="F1882" s="1427"/>
      <c r="G1882" s="1427"/>
      <c r="H1882" s="1427"/>
      <c r="I1882" s="1427"/>
      <c r="J1882" s="1427"/>
      <c r="K1882" s="1428"/>
      <c r="L1882" s="1429">
        <f>SUM(L1880:R1881)</f>
        <v>0</v>
      </c>
      <c r="M1882" s="1430"/>
      <c r="N1882" s="1430"/>
      <c r="O1882" s="1430"/>
      <c r="P1882" s="1430"/>
      <c r="Q1882" s="1430"/>
      <c r="R1882" s="1431"/>
      <c r="S1882" s="13"/>
      <c r="T1882" s="741"/>
      <c r="U1882" s="741"/>
      <c r="V1882" s="52"/>
    </row>
    <row r="1883" spans="1:22" s="141" customFormat="1" ht="9" customHeight="1">
      <c r="A1883" s="650"/>
      <c r="B1883" s="12"/>
      <c r="C1883" s="12"/>
      <c r="D1883" s="12"/>
      <c r="E1883" s="12"/>
      <c r="F1883" s="12"/>
      <c r="G1883" s="12"/>
      <c r="H1883" s="12"/>
      <c r="I1883" s="12"/>
      <c r="J1883" s="13"/>
      <c r="K1883" s="13"/>
      <c r="L1883" s="13"/>
      <c r="M1883" s="13"/>
      <c r="N1883" s="13"/>
      <c r="O1883" s="13"/>
      <c r="P1883" s="13"/>
      <c r="Q1883" s="13"/>
      <c r="R1883" s="13"/>
      <c r="S1883" s="13"/>
      <c r="T1883" s="741"/>
      <c r="U1883" s="741"/>
      <c r="V1883" s="52"/>
    </row>
    <row r="1884" spans="1:22" s="141" customFormat="1" ht="15" customHeight="1">
      <c r="A1884" s="650"/>
      <c r="B1884" s="53"/>
      <c r="C1884" s="74" t="s">
        <v>773</v>
      </c>
      <c r="D1884" s="1423" t="s">
        <v>176</v>
      </c>
      <c r="E1884" s="1423"/>
      <c r="F1884" s="1423"/>
      <c r="G1884" s="1423"/>
      <c r="H1884" s="1423"/>
      <c r="I1884" s="1423"/>
      <c r="J1884" s="1423"/>
      <c r="K1884" s="1423"/>
      <c r="L1884" s="1423"/>
      <c r="M1884" s="1423"/>
      <c r="N1884" s="1423"/>
      <c r="O1884" s="1423"/>
      <c r="P1884" s="1423"/>
      <c r="Q1884" s="1423"/>
      <c r="R1884" s="1423"/>
      <c r="S1884" s="1423"/>
      <c r="T1884" s="1423"/>
      <c r="U1884" s="1423"/>
      <c r="V1884" s="52"/>
    </row>
    <row r="1885" spans="1:22" s="141" customFormat="1" ht="56.25" customHeight="1">
      <c r="A1885" s="650"/>
      <c r="C1885" s="38"/>
      <c r="D1885" s="1091" t="str">
        <f>"Jumlah Beban Penyusutan dan Amortisasi untuk Tahun "&amp;'2.ISIAN DATA SKPD'!D11&amp;" dan tahun "&amp;'2.ISIAN DATA SKPD'!D12&amp;" masing-masing sebesar Rp. 0 dan 0 mengalami kenaikan/penurunan sebesar Rp. 0 atau sebesar 0 % dari tahun "&amp;'2.ISIAN DATA SKPD'!D12&amp;" ."</f>
        <v>Jumlah Beban Penyusutan dan Amortisasi untuk Tahun 2017 dan tahun 2016 masing-masing sebesar Rp. 0 dan 0 mengalami kenaikan/penurunan sebesar Rp. 0 atau sebesar 0 % dari tahun 2016 .</v>
      </c>
      <c r="E1885" s="1091"/>
      <c r="F1885" s="1091"/>
      <c r="G1885" s="1091"/>
      <c r="H1885" s="1091"/>
      <c r="I1885" s="1091"/>
      <c r="J1885" s="1091"/>
      <c r="K1885" s="1091"/>
      <c r="L1885" s="1091"/>
      <c r="M1885" s="1091"/>
      <c r="N1885" s="1091"/>
      <c r="O1885" s="1091"/>
      <c r="P1885" s="1091"/>
      <c r="Q1885" s="1091"/>
      <c r="R1885" s="1091"/>
      <c r="S1885" s="1091"/>
      <c r="T1885" s="1091"/>
      <c r="U1885" s="1091"/>
      <c r="V1885" s="52"/>
    </row>
    <row r="1886" spans="1:22" s="141" customFormat="1" ht="45" customHeight="1">
      <c r="A1886" s="650"/>
      <c r="C1886" s="38"/>
      <c r="D1886" s="1091" t="s">
        <v>1196</v>
      </c>
      <c r="E1886" s="1091"/>
      <c r="F1886" s="1091"/>
      <c r="G1886" s="1091"/>
      <c r="H1886" s="1091"/>
      <c r="I1886" s="1091"/>
      <c r="J1886" s="1091"/>
      <c r="K1886" s="1091"/>
      <c r="L1886" s="1091"/>
      <c r="M1886" s="1091"/>
      <c r="N1886" s="1091"/>
      <c r="O1886" s="1091"/>
      <c r="P1886" s="1091"/>
      <c r="Q1886" s="1091"/>
      <c r="R1886" s="1091"/>
      <c r="S1886" s="1091"/>
      <c r="T1886" s="1091"/>
      <c r="U1886" s="1091"/>
      <c r="V1886" s="52"/>
    </row>
    <row r="1887" spans="1:22" s="141" customFormat="1" ht="58.5" customHeight="1">
      <c r="A1887" s="650"/>
      <c r="C1887" s="38"/>
      <c r="D1887" s="1091" t="str">
        <f>"Sedangkan Beban Amortisasi digunakan untuk mencatat alokasi penurunan manfaat ekonomi untuk Aset Tak berwujud. Rincian Beban Penyusutan dan Amortisasi untuk tahun "&amp;'2.ISIAN DATA SKPD'!D11&amp;" adalah sebagai berikut: "</f>
        <v>Sedangkan Beban Amortisasi digunakan untuk mencatat alokasi penurunan manfaat ekonomi untuk Aset Tak berwujud. Rincian Beban Penyusutan dan Amortisasi untuk tahun 2017 adalah sebagai berikut: </v>
      </c>
      <c r="E1887" s="1091"/>
      <c r="F1887" s="1091"/>
      <c r="G1887" s="1091"/>
      <c r="H1887" s="1091"/>
      <c r="I1887" s="1091"/>
      <c r="J1887" s="1091"/>
      <c r="K1887" s="1091"/>
      <c r="L1887" s="1091"/>
      <c r="M1887" s="1091"/>
      <c r="N1887" s="1091"/>
      <c r="O1887" s="1091"/>
      <c r="P1887" s="1091"/>
      <c r="Q1887" s="1091"/>
      <c r="R1887" s="1091"/>
      <c r="S1887" s="1091"/>
      <c r="T1887" s="1091"/>
      <c r="U1887" s="1091"/>
      <c r="V1887" s="52"/>
    </row>
    <row r="1888" spans="1:22" s="141" customFormat="1" ht="15.75" customHeight="1">
      <c r="A1888" s="650"/>
      <c r="C1888" s="65"/>
      <c r="D1888" s="1362" t="str">
        <f>"Rincian Beban Penyusutan dan Amortisasi Tahun "&amp;'2.ISIAN DATA SKPD'!D11&amp;""</f>
        <v>Rincian Beban Penyusutan dan Amortisasi Tahun 2017</v>
      </c>
      <c r="E1888" s="1362"/>
      <c r="F1888" s="1362"/>
      <c r="G1888" s="1362"/>
      <c r="H1888" s="1362"/>
      <c r="I1888" s="1362"/>
      <c r="J1888" s="1362"/>
      <c r="K1888" s="1362"/>
      <c r="L1888" s="1362"/>
      <c r="M1888" s="1362"/>
      <c r="N1888" s="1362"/>
      <c r="O1888" s="1362"/>
      <c r="P1888" s="1362"/>
      <c r="Q1888" s="1362"/>
      <c r="R1888" s="1362"/>
      <c r="S1888" s="1362"/>
      <c r="T1888" s="1362"/>
      <c r="U1888" s="1362"/>
      <c r="V1888" s="52"/>
    </row>
    <row r="1889" spans="1:22" s="141" customFormat="1" ht="22.5" customHeight="1">
      <c r="A1889" s="650"/>
      <c r="B1889" s="14"/>
      <c r="C1889" s="14"/>
      <c r="D1889" s="1126" t="s">
        <v>9</v>
      </c>
      <c r="E1889" s="1127"/>
      <c r="F1889" s="1127"/>
      <c r="G1889" s="1127"/>
      <c r="H1889" s="1127"/>
      <c r="I1889" s="1127"/>
      <c r="J1889" s="1127"/>
      <c r="K1889" s="1128"/>
      <c r="L1889" s="1324" t="s">
        <v>10</v>
      </c>
      <c r="M1889" s="1324"/>
      <c r="N1889" s="1324"/>
      <c r="O1889" s="1324"/>
      <c r="P1889" s="1324"/>
      <c r="Q1889" s="1324"/>
      <c r="R1889" s="1324"/>
      <c r="S1889" s="14"/>
      <c r="T1889" s="808"/>
      <c r="U1889" s="808"/>
      <c r="V1889" s="52"/>
    </row>
    <row r="1890" spans="1:22" s="141" customFormat="1" ht="34.5" customHeight="1">
      <c r="A1890" s="650"/>
      <c r="B1890" s="62"/>
      <c r="C1890" s="63"/>
      <c r="D1890" s="1123" t="s">
        <v>1150</v>
      </c>
      <c r="E1890" s="1124"/>
      <c r="F1890" s="1124"/>
      <c r="G1890" s="1124"/>
      <c r="H1890" s="1124"/>
      <c r="I1890" s="1124"/>
      <c r="J1890" s="1124"/>
      <c r="K1890" s="1125"/>
      <c r="L1890" s="1417">
        <f>'5.LO'!E406</f>
        <v>361981624</v>
      </c>
      <c r="M1890" s="1418"/>
      <c r="N1890" s="1418"/>
      <c r="O1890" s="1418"/>
      <c r="P1890" s="1418"/>
      <c r="Q1890" s="1418"/>
      <c r="R1890" s="1419"/>
      <c r="S1890" s="34"/>
      <c r="T1890" s="741"/>
      <c r="U1890" s="741"/>
      <c r="V1890" s="52"/>
    </row>
    <row r="1891" spans="1:22" s="141" customFormat="1" ht="42" customHeight="1">
      <c r="A1891" s="650"/>
      <c r="B1891" s="62"/>
      <c r="C1891" s="63"/>
      <c r="D1891" s="1123" t="s">
        <v>1151</v>
      </c>
      <c r="E1891" s="1124"/>
      <c r="F1891" s="1124"/>
      <c r="G1891" s="1124"/>
      <c r="H1891" s="1124"/>
      <c r="I1891" s="1124"/>
      <c r="J1891" s="1124"/>
      <c r="K1891" s="1125"/>
      <c r="L1891" s="1417">
        <f>'5.LO'!E407</f>
        <v>0</v>
      </c>
      <c r="M1891" s="1418"/>
      <c r="N1891" s="1418"/>
      <c r="O1891" s="1418"/>
      <c r="P1891" s="1418"/>
      <c r="Q1891" s="1418"/>
      <c r="R1891" s="1419"/>
      <c r="S1891" s="34"/>
      <c r="T1891" s="741"/>
      <c r="U1891" s="741"/>
      <c r="V1891" s="52"/>
    </row>
    <row r="1892" spans="1:22" s="141" customFormat="1" ht="32.25" customHeight="1">
      <c r="A1892" s="650"/>
      <c r="B1892" s="62"/>
      <c r="C1892" s="63"/>
      <c r="D1892" s="1123" t="s">
        <v>1152</v>
      </c>
      <c r="E1892" s="1124"/>
      <c r="F1892" s="1124"/>
      <c r="G1892" s="1124"/>
      <c r="H1892" s="1124"/>
      <c r="I1892" s="1124"/>
      <c r="J1892" s="1124"/>
      <c r="K1892" s="1125"/>
      <c r="L1892" s="1417">
        <f>'5.LO'!E408</f>
        <v>0</v>
      </c>
      <c r="M1892" s="1418"/>
      <c r="N1892" s="1418"/>
      <c r="O1892" s="1418"/>
      <c r="P1892" s="1418"/>
      <c r="Q1892" s="1418"/>
      <c r="R1892" s="1419"/>
      <c r="S1892" s="34"/>
      <c r="T1892" s="741"/>
      <c r="U1892" s="741"/>
      <c r="V1892" s="52"/>
    </row>
    <row r="1893" spans="1:22" s="141" customFormat="1" ht="33" customHeight="1">
      <c r="A1893" s="650"/>
      <c r="B1893" s="62"/>
      <c r="C1893" s="63"/>
      <c r="D1893" s="1123" t="s">
        <v>1153</v>
      </c>
      <c r="E1893" s="1124"/>
      <c r="F1893" s="1124"/>
      <c r="G1893" s="1124"/>
      <c r="H1893" s="1124"/>
      <c r="I1893" s="1124"/>
      <c r="J1893" s="1124"/>
      <c r="K1893" s="1125"/>
      <c r="L1893" s="1417">
        <f>'5.LO'!E409</f>
        <v>0</v>
      </c>
      <c r="M1893" s="1418"/>
      <c r="N1893" s="1418"/>
      <c r="O1893" s="1418"/>
      <c r="P1893" s="1418"/>
      <c r="Q1893" s="1418"/>
      <c r="R1893" s="1419"/>
      <c r="S1893" s="34"/>
      <c r="T1893" s="741"/>
      <c r="U1893" s="741"/>
      <c r="V1893" s="52"/>
    </row>
    <row r="1894" spans="1:22" s="141" customFormat="1" ht="30" customHeight="1">
      <c r="A1894" s="114"/>
      <c r="B1894" s="62"/>
      <c r="C1894" s="63"/>
      <c r="D1894" s="1426" t="s">
        <v>1197</v>
      </c>
      <c r="E1894" s="1427"/>
      <c r="F1894" s="1427"/>
      <c r="G1894" s="1427"/>
      <c r="H1894" s="1427"/>
      <c r="I1894" s="1427"/>
      <c r="J1894" s="1427"/>
      <c r="K1894" s="1428"/>
      <c r="L1894" s="1429">
        <f>SUM(L1890:R1893)</f>
        <v>361981624</v>
      </c>
      <c r="M1894" s="1430"/>
      <c r="N1894" s="1430"/>
      <c r="O1894" s="1430"/>
      <c r="P1894" s="1430"/>
      <c r="Q1894" s="1430"/>
      <c r="R1894" s="1431"/>
      <c r="S1894" s="34"/>
      <c r="T1894" s="741"/>
      <c r="U1894" s="741"/>
      <c r="V1894" s="52"/>
    </row>
    <row r="1895" spans="1:22" s="141" customFormat="1" ht="9.75" customHeight="1">
      <c r="A1895" s="114"/>
      <c r="B1895" s="62"/>
      <c r="C1895" s="63"/>
      <c r="D1895" s="145"/>
      <c r="E1895" s="145"/>
      <c r="F1895" s="145"/>
      <c r="G1895" s="145"/>
      <c r="H1895" s="145"/>
      <c r="I1895" s="145"/>
      <c r="J1895" s="145"/>
      <c r="K1895" s="145"/>
      <c r="L1895" s="629"/>
      <c r="M1895" s="629"/>
      <c r="N1895" s="629"/>
      <c r="O1895" s="629"/>
      <c r="P1895" s="629"/>
      <c r="Q1895" s="629"/>
      <c r="R1895" s="629"/>
      <c r="S1895" s="34"/>
      <c r="T1895" s="741"/>
      <c r="U1895" s="741"/>
      <c r="V1895" s="52"/>
    </row>
    <row r="1896" spans="1:22" s="141" customFormat="1" ht="19.5" customHeight="1">
      <c r="A1896" s="650"/>
      <c r="B1896" s="53"/>
      <c r="C1896" s="74" t="s">
        <v>774</v>
      </c>
      <c r="D1896" s="1423" t="s">
        <v>800</v>
      </c>
      <c r="E1896" s="1423"/>
      <c r="F1896" s="1423"/>
      <c r="G1896" s="1423"/>
      <c r="H1896" s="1423"/>
      <c r="I1896" s="1423"/>
      <c r="J1896" s="1423"/>
      <c r="K1896" s="1423"/>
      <c r="L1896" s="1423"/>
      <c r="M1896" s="1423"/>
      <c r="N1896" s="1423"/>
      <c r="O1896" s="1423"/>
      <c r="P1896" s="1423"/>
      <c r="Q1896" s="1423"/>
      <c r="R1896" s="1423"/>
      <c r="S1896" s="1423"/>
      <c r="T1896" s="1423"/>
      <c r="U1896" s="1423"/>
      <c r="V1896" s="52"/>
    </row>
    <row r="1897" spans="1:22" s="141" customFormat="1" ht="61.5" customHeight="1">
      <c r="A1897" s="650"/>
      <c r="C1897" s="38"/>
      <c r="D1897" s="1091" t="s">
        <v>1606</v>
      </c>
      <c r="E1897" s="1091"/>
      <c r="F1897" s="1091"/>
      <c r="G1897" s="1091"/>
      <c r="H1897" s="1091"/>
      <c r="I1897" s="1091"/>
      <c r="J1897" s="1091"/>
      <c r="K1897" s="1091"/>
      <c r="L1897" s="1091"/>
      <c r="M1897" s="1091"/>
      <c r="N1897" s="1091"/>
      <c r="O1897" s="1091"/>
      <c r="P1897" s="1091"/>
      <c r="Q1897" s="1091"/>
      <c r="R1897" s="1091"/>
      <c r="S1897" s="1091"/>
      <c r="T1897" s="1091"/>
      <c r="U1897" s="1091"/>
      <c r="V1897" s="52"/>
    </row>
    <row r="1898" spans="1:22" s="141" customFormat="1" ht="63" customHeight="1">
      <c r="A1898" s="650"/>
      <c r="C1898" s="38"/>
      <c r="D1898" s="702"/>
      <c r="E1898" s="702"/>
      <c r="F1898" s="702"/>
      <c r="G1898" s="702"/>
      <c r="H1898" s="702"/>
      <c r="I1898" s="702"/>
      <c r="J1898" s="702"/>
      <c r="K1898" s="702"/>
      <c r="L1898" s="702"/>
      <c r="M1898" s="702"/>
      <c r="N1898" s="702"/>
      <c r="O1898" s="702"/>
      <c r="P1898" s="702"/>
      <c r="Q1898" s="702"/>
      <c r="R1898" s="702"/>
      <c r="S1898" s="702"/>
      <c r="T1898" s="702"/>
      <c r="U1898" s="702"/>
      <c r="V1898" s="52"/>
    </row>
    <row r="1899" spans="1:22" s="141" customFormat="1" ht="23.25" customHeight="1">
      <c r="A1899" s="650"/>
      <c r="C1899" s="65"/>
      <c r="D1899" s="1425" t="str">
        <f>"Rincian Beban  Transfer  Tahun "&amp;'2.ISIAN DATA SKPD'!D11&amp;""</f>
        <v>Rincian Beban  Transfer  Tahun 2017</v>
      </c>
      <c r="E1899" s="1425"/>
      <c r="F1899" s="1425"/>
      <c r="G1899" s="1425"/>
      <c r="H1899" s="1425"/>
      <c r="I1899" s="1425"/>
      <c r="J1899" s="1425"/>
      <c r="K1899" s="1425"/>
      <c r="L1899" s="1425"/>
      <c r="M1899" s="1425"/>
      <c r="N1899" s="1425"/>
      <c r="O1899" s="1425"/>
      <c r="P1899" s="1425"/>
      <c r="Q1899" s="1425"/>
      <c r="R1899" s="1425"/>
      <c r="S1899" s="65"/>
      <c r="T1899" s="65"/>
      <c r="U1899" s="65"/>
      <c r="V1899" s="52"/>
    </row>
    <row r="1900" spans="1:22" s="141" customFormat="1" ht="15.75" customHeight="1">
      <c r="A1900" s="650"/>
      <c r="C1900" s="65"/>
      <c r="D1900" s="1126" t="s">
        <v>9</v>
      </c>
      <c r="E1900" s="1127"/>
      <c r="F1900" s="1127"/>
      <c r="G1900" s="1127"/>
      <c r="H1900" s="1127"/>
      <c r="I1900" s="1127"/>
      <c r="J1900" s="1127"/>
      <c r="K1900" s="1128"/>
      <c r="L1900" s="1324" t="s">
        <v>10</v>
      </c>
      <c r="M1900" s="1324"/>
      <c r="N1900" s="1324"/>
      <c r="O1900" s="1324"/>
      <c r="P1900" s="1324"/>
      <c r="Q1900" s="1324"/>
      <c r="R1900" s="1324"/>
      <c r="S1900" s="65"/>
      <c r="T1900" s="65"/>
      <c r="U1900" s="65"/>
      <c r="V1900" s="52"/>
    </row>
    <row r="1901" spans="1:22" s="141" customFormat="1" ht="47.25" customHeight="1">
      <c r="A1901" s="650"/>
      <c r="B1901" s="14"/>
      <c r="C1901" s="14"/>
      <c r="D1901" s="1123" t="s">
        <v>1154</v>
      </c>
      <c r="E1901" s="1124"/>
      <c r="F1901" s="1124"/>
      <c r="G1901" s="1124"/>
      <c r="H1901" s="1124"/>
      <c r="I1901" s="1124"/>
      <c r="J1901" s="1124"/>
      <c r="K1901" s="1125"/>
      <c r="L1901" s="1417">
        <f>'5.LO'!E411</f>
        <v>0</v>
      </c>
      <c r="M1901" s="1418"/>
      <c r="N1901" s="1418"/>
      <c r="O1901" s="1418"/>
      <c r="P1901" s="1418"/>
      <c r="Q1901" s="1418"/>
      <c r="R1901" s="1419"/>
      <c r="S1901" s="14"/>
      <c r="T1901" s="808"/>
      <c r="U1901" s="808"/>
      <c r="V1901" s="52"/>
    </row>
    <row r="1902" spans="1:22" s="141" customFormat="1" ht="42.75" customHeight="1">
      <c r="A1902" s="650"/>
      <c r="B1902" s="62"/>
      <c r="C1902" s="63"/>
      <c r="D1902" s="1123" t="s">
        <v>1155</v>
      </c>
      <c r="E1902" s="1124"/>
      <c r="F1902" s="1124"/>
      <c r="G1902" s="1124"/>
      <c r="H1902" s="1124"/>
      <c r="I1902" s="1124"/>
      <c r="J1902" s="1124"/>
      <c r="K1902" s="1125"/>
      <c r="L1902" s="1417">
        <f>'5.LO'!E413</f>
        <v>0</v>
      </c>
      <c r="M1902" s="1418"/>
      <c r="N1902" s="1418"/>
      <c r="O1902" s="1418"/>
      <c r="P1902" s="1418"/>
      <c r="Q1902" s="1418"/>
      <c r="R1902" s="1419"/>
      <c r="S1902" s="34"/>
      <c r="T1902" s="741"/>
      <c r="U1902" s="741"/>
      <c r="V1902" s="52"/>
    </row>
    <row r="1903" spans="1:22" s="141" customFormat="1" ht="30.75" customHeight="1">
      <c r="A1903" s="650"/>
      <c r="B1903" s="62"/>
      <c r="C1903" s="63"/>
      <c r="D1903" s="1123" t="s">
        <v>1157</v>
      </c>
      <c r="E1903" s="1124"/>
      <c r="F1903" s="1124"/>
      <c r="G1903" s="1124"/>
      <c r="H1903" s="1124"/>
      <c r="I1903" s="1124"/>
      <c r="J1903" s="1124"/>
      <c r="K1903" s="1125"/>
      <c r="L1903" s="1417">
        <f>'5.LO'!E415</f>
        <v>0</v>
      </c>
      <c r="M1903" s="1418"/>
      <c r="N1903" s="1418"/>
      <c r="O1903" s="1418"/>
      <c r="P1903" s="1418"/>
      <c r="Q1903" s="1418"/>
      <c r="R1903" s="1419"/>
      <c r="S1903" s="34"/>
      <c r="T1903" s="741"/>
      <c r="U1903" s="741"/>
      <c r="V1903" s="52"/>
    </row>
    <row r="1904" spans="1:22" s="141" customFormat="1" ht="41.25" customHeight="1">
      <c r="A1904" s="650"/>
      <c r="B1904" s="12"/>
      <c r="C1904" s="12"/>
      <c r="D1904" s="1123" t="s">
        <v>1162</v>
      </c>
      <c r="E1904" s="1124"/>
      <c r="F1904" s="1124"/>
      <c r="G1904" s="1124"/>
      <c r="H1904" s="1124"/>
      <c r="I1904" s="1124"/>
      <c r="J1904" s="1124"/>
      <c r="K1904" s="1125"/>
      <c r="L1904" s="1417">
        <f>'5.LO'!E420</f>
        <v>0</v>
      </c>
      <c r="M1904" s="1418"/>
      <c r="N1904" s="1418"/>
      <c r="O1904" s="1418"/>
      <c r="P1904" s="1418"/>
      <c r="Q1904" s="1418"/>
      <c r="R1904" s="1419"/>
      <c r="S1904" s="34"/>
      <c r="T1904" s="741"/>
      <c r="U1904" s="741"/>
      <c r="V1904" s="52"/>
    </row>
    <row r="1905" spans="1:22" s="141" customFormat="1" ht="30" customHeight="1">
      <c r="A1905" s="1516"/>
      <c r="B1905" s="66"/>
      <c r="C1905" s="66"/>
      <c r="D1905" s="1426" t="s">
        <v>1198</v>
      </c>
      <c r="E1905" s="1427"/>
      <c r="F1905" s="1427"/>
      <c r="G1905" s="1427"/>
      <c r="H1905" s="1427"/>
      <c r="I1905" s="1427"/>
      <c r="J1905" s="1427"/>
      <c r="K1905" s="1428"/>
      <c r="L1905" s="1429">
        <f>SUM(L1901:R1904)</f>
        <v>0</v>
      </c>
      <c r="M1905" s="1430"/>
      <c r="N1905" s="1430"/>
      <c r="O1905" s="1430"/>
      <c r="P1905" s="1430"/>
      <c r="Q1905" s="1430"/>
      <c r="R1905" s="1431"/>
      <c r="S1905" s="66"/>
      <c r="T1905" s="809"/>
      <c r="U1905" s="809"/>
      <c r="V1905" s="52"/>
    </row>
    <row r="1906" spans="1:22" s="141" customFormat="1" ht="20.25" customHeight="1">
      <c r="A1906" s="1516"/>
      <c r="B1906" s="52"/>
      <c r="C1906" s="52"/>
      <c r="D1906" s="52"/>
      <c r="E1906" s="52"/>
      <c r="F1906" s="52"/>
      <c r="G1906" s="52"/>
      <c r="H1906" s="52"/>
      <c r="I1906" s="52"/>
      <c r="J1906" s="52"/>
      <c r="K1906" s="52"/>
      <c r="L1906" s="52"/>
      <c r="M1906" s="52"/>
      <c r="N1906" s="52"/>
      <c r="O1906" s="52"/>
      <c r="P1906" s="52"/>
      <c r="Q1906" s="52"/>
      <c r="R1906" s="52"/>
      <c r="S1906" s="52"/>
      <c r="T1906" s="668"/>
      <c r="U1906" s="668"/>
      <c r="V1906" s="52"/>
    </row>
    <row r="1907" spans="1:22" s="141" customFormat="1" ht="30" customHeight="1">
      <c r="A1907" s="1516"/>
      <c r="B1907" s="52"/>
      <c r="C1907" s="74" t="s">
        <v>775</v>
      </c>
      <c r="D1907" s="1423" t="s">
        <v>1199</v>
      </c>
      <c r="E1907" s="1423"/>
      <c r="F1907" s="1423"/>
      <c r="G1907" s="1423"/>
      <c r="H1907" s="1423"/>
      <c r="I1907" s="1423"/>
      <c r="J1907" s="1423"/>
      <c r="K1907" s="1423"/>
      <c r="L1907" s="1423"/>
      <c r="M1907" s="1423"/>
      <c r="N1907" s="1423"/>
      <c r="O1907" s="1423"/>
      <c r="P1907" s="1423"/>
      <c r="Q1907" s="1423"/>
      <c r="R1907" s="1423"/>
      <c r="S1907" s="1423"/>
      <c r="T1907" s="1423"/>
      <c r="U1907" s="1423"/>
      <c r="V1907" s="52"/>
    </row>
    <row r="1908" spans="1:25" s="141" customFormat="1" ht="60" customHeight="1">
      <c r="A1908" s="114"/>
      <c r="B1908" s="52"/>
      <c r="C1908" s="74"/>
      <c r="D1908" s="1091" t="str">
        <f>"Jumlah Beban Lain-Lain untuk Tahun "&amp;'2.ISIAN DATA SKPD'!D11&amp;" dan tahun "&amp;'2.ISIAN DATA SKPD'!D12&amp;" masing-masing sebesar Rp. 0 dan 0 mengalami kenaikan/penurunan sebesar Rp. 0 atau sebesar 0 % dari tahun "&amp;'2.ISIAN DATA SKPD'!D12&amp;" ."</f>
        <v>Jumlah Beban Lain-Lain untuk Tahun 2017 dan tahun 2016 masing-masing sebesar Rp. 0 dan 0 mengalami kenaikan/penurunan sebesar Rp. 0 atau sebesar 0 % dari tahun 2016 .</v>
      </c>
      <c r="E1908" s="1091"/>
      <c r="F1908" s="1091"/>
      <c r="G1908" s="1091"/>
      <c r="H1908" s="1091"/>
      <c r="I1908" s="1091"/>
      <c r="J1908" s="1091"/>
      <c r="K1908" s="1091"/>
      <c r="L1908" s="1091"/>
      <c r="M1908" s="1091"/>
      <c r="N1908" s="1091"/>
      <c r="O1908" s="1091"/>
      <c r="P1908" s="1091"/>
      <c r="Q1908" s="1091"/>
      <c r="R1908" s="1091"/>
      <c r="S1908" s="1091"/>
      <c r="T1908" s="1091"/>
      <c r="U1908" s="1091"/>
      <c r="V1908" s="52"/>
      <c r="Y1908" s="810"/>
    </row>
    <row r="1909" spans="1:25" s="141" customFormat="1" ht="89.25" customHeight="1">
      <c r="A1909" s="114"/>
      <c r="B1909" s="52"/>
      <c r="C1909" s="74"/>
      <c r="D1909" s="1337" t="s">
        <v>1610</v>
      </c>
      <c r="E1909" s="1337"/>
      <c r="F1909" s="1337"/>
      <c r="G1909" s="1337"/>
      <c r="H1909" s="1337"/>
      <c r="I1909" s="1337"/>
      <c r="J1909" s="1337"/>
      <c r="K1909" s="1337"/>
      <c r="L1909" s="1337"/>
      <c r="M1909" s="1337"/>
      <c r="N1909" s="1337"/>
      <c r="O1909" s="1337"/>
      <c r="P1909" s="1337"/>
      <c r="Q1909" s="1337"/>
      <c r="R1909" s="1337"/>
      <c r="S1909" s="1337"/>
      <c r="T1909" s="1337"/>
      <c r="U1909" s="1337"/>
      <c r="V1909" s="52"/>
      <c r="Y1909" s="810"/>
    </row>
    <row r="1910" spans="1:25" s="141" customFormat="1" ht="20.25" customHeight="1">
      <c r="A1910" s="114"/>
      <c r="B1910" s="52"/>
      <c r="C1910" s="74"/>
      <c r="D1910" s="1425" t="str">
        <f>"Rincian Beban  Lain-Lain Tahun "&amp;'2.ISIAN DATA SKPD'!D11&amp;""</f>
        <v>Rincian Beban  Lain-Lain Tahun 2017</v>
      </c>
      <c r="E1910" s="1425"/>
      <c r="F1910" s="1425"/>
      <c r="G1910" s="1425"/>
      <c r="H1910" s="1425"/>
      <c r="I1910" s="1425"/>
      <c r="J1910" s="1425"/>
      <c r="K1910" s="1425"/>
      <c r="L1910" s="1425"/>
      <c r="M1910" s="1425"/>
      <c r="N1910" s="1425"/>
      <c r="O1910" s="1425"/>
      <c r="P1910" s="1425"/>
      <c r="Q1910" s="1425"/>
      <c r="R1910" s="1425"/>
      <c r="S1910" s="702"/>
      <c r="T1910" s="702"/>
      <c r="U1910" s="702"/>
      <c r="V1910" s="52"/>
      <c r="Y1910" s="810"/>
    </row>
    <row r="1911" spans="1:25" s="141" customFormat="1" ht="21.75" customHeight="1">
      <c r="A1911" s="114"/>
      <c r="B1911" s="52"/>
      <c r="C1911" s="74"/>
      <c r="D1911" s="1126" t="s">
        <v>1609</v>
      </c>
      <c r="E1911" s="1127"/>
      <c r="F1911" s="1127"/>
      <c r="G1911" s="1127"/>
      <c r="H1911" s="1127"/>
      <c r="I1911" s="1127"/>
      <c r="J1911" s="1127"/>
      <c r="K1911" s="1128"/>
      <c r="L1911" s="1324" t="s">
        <v>10</v>
      </c>
      <c r="M1911" s="1324"/>
      <c r="N1911" s="1324"/>
      <c r="O1911" s="1324"/>
      <c r="P1911" s="1324"/>
      <c r="Q1911" s="1324"/>
      <c r="R1911" s="1324"/>
      <c r="S1911" s="628"/>
      <c r="T1911" s="628"/>
      <c r="U1911" s="628"/>
      <c r="V1911" s="52"/>
      <c r="Y1911" s="810"/>
    </row>
    <row r="1912" spans="1:25" s="141" customFormat="1" ht="34.5" customHeight="1">
      <c r="A1912" s="114"/>
      <c r="B1912" s="52"/>
      <c r="C1912" s="74"/>
      <c r="D1912" s="1123" t="s">
        <v>1608</v>
      </c>
      <c r="E1912" s="1124"/>
      <c r="F1912" s="1124"/>
      <c r="G1912" s="1124"/>
      <c r="H1912" s="1124"/>
      <c r="I1912" s="1124"/>
      <c r="J1912" s="1124"/>
      <c r="K1912" s="1125"/>
      <c r="L1912" s="1417">
        <f>'5.LO'!E432</f>
        <v>0</v>
      </c>
      <c r="M1912" s="1418"/>
      <c r="N1912" s="1418"/>
      <c r="O1912" s="1418"/>
      <c r="P1912" s="1418"/>
      <c r="Q1912" s="1418"/>
      <c r="R1912" s="1419"/>
      <c r="S1912" s="628"/>
      <c r="T1912" s="628"/>
      <c r="U1912" s="628"/>
      <c r="V1912" s="52"/>
      <c r="Y1912" s="810"/>
    </row>
    <row r="1913" spans="1:25" s="141" customFormat="1" ht="21.75" customHeight="1">
      <c r="A1913" s="114"/>
      <c r="B1913" s="52"/>
      <c r="C1913" s="74"/>
      <c r="D1913" s="1123" t="s">
        <v>496</v>
      </c>
      <c r="E1913" s="1124"/>
      <c r="F1913" s="1124"/>
      <c r="G1913" s="1124"/>
      <c r="H1913" s="1124"/>
      <c r="I1913" s="1124"/>
      <c r="J1913" s="1124"/>
      <c r="K1913" s="1125"/>
      <c r="L1913" s="1417">
        <f>'5.LO'!E433</f>
        <v>0</v>
      </c>
      <c r="M1913" s="1418"/>
      <c r="N1913" s="1418"/>
      <c r="O1913" s="1418"/>
      <c r="P1913" s="1418"/>
      <c r="Q1913" s="1418"/>
      <c r="R1913" s="1419"/>
      <c r="S1913" s="628"/>
      <c r="T1913" s="628"/>
      <c r="U1913" s="628"/>
      <c r="V1913" s="52"/>
      <c r="Y1913" s="810"/>
    </row>
    <row r="1914" spans="1:22" s="141" customFormat="1" ht="21" customHeight="1">
      <c r="A1914" s="114"/>
      <c r="B1914" s="52"/>
      <c r="C1914" s="74"/>
      <c r="D1914" s="1426" t="s">
        <v>1198</v>
      </c>
      <c r="E1914" s="1427"/>
      <c r="F1914" s="1427"/>
      <c r="G1914" s="1427"/>
      <c r="H1914" s="1427"/>
      <c r="I1914" s="1427"/>
      <c r="J1914" s="1427"/>
      <c r="K1914" s="1428"/>
      <c r="L1914" s="1417">
        <f>L1912</f>
        <v>0</v>
      </c>
      <c r="M1914" s="1418"/>
      <c r="N1914" s="1418"/>
      <c r="O1914" s="1418"/>
      <c r="P1914" s="1418"/>
      <c r="Q1914" s="1418"/>
      <c r="R1914" s="1419"/>
      <c r="S1914" s="628"/>
      <c r="T1914" s="628"/>
      <c r="U1914" s="628"/>
      <c r="V1914" s="52"/>
    </row>
    <row r="1915" spans="1:22" s="141" customFormat="1" ht="9.75" customHeight="1">
      <c r="A1915" s="114"/>
      <c r="B1915" s="52"/>
      <c r="C1915" s="74"/>
      <c r="D1915" s="1091"/>
      <c r="E1915" s="1091"/>
      <c r="F1915" s="1091"/>
      <c r="G1915" s="1091"/>
      <c r="H1915" s="1091"/>
      <c r="I1915" s="1091"/>
      <c r="J1915" s="1091"/>
      <c r="K1915" s="1091"/>
      <c r="L1915" s="1091"/>
      <c r="M1915" s="1091"/>
      <c r="N1915" s="1091"/>
      <c r="O1915" s="1091"/>
      <c r="P1915" s="1091"/>
      <c r="Q1915" s="1091"/>
      <c r="R1915" s="1091"/>
      <c r="S1915" s="1091"/>
      <c r="T1915" s="1091"/>
      <c r="U1915" s="1091"/>
      <c r="V1915" s="52"/>
    </row>
    <row r="1916" spans="1:22" s="141" customFormat="1" ht="17.25" customHeight="1">
      <c r="A1916" s="114"/>
      <c r="B1916" s="115" t="s">
        <v>1611</v>
      </c>
      <c r="C1916" s="74"/>
      <c r="D1916" s="145"/>
      <c r="E1916" s="145"/>
      <c r="F1916" s="145"/>
      <c r="G1916" s="145"/>
      <c r="H1916" s="145"/>
      <c r="I1916" s="145"/>
      <c r="J1916" s="145"/>
      <c r="K1916" s="145"/>
      <c r="L1916" s="629"/>
      <c r="M1916" s="629"/>
      <c r="N1916" s="629"/>
      <c r="O1916" s="629"/>
      <c r="P1916" s="629"/>
      <c r="Q1916" s="629"/>
      <c r="R1916" s="629"/>
      <c r="S1916" s="628"/>
      <c r="T1916" s="628"/>
      <c r="U1916" s="628"/>
      <c r="V1916" s="52"/>
    </row>
    <row r="1917" spans="1:22" s="141" customFormat="1" ht="33" customHeight="1">
      <c r="A1917" s="114"/>
      <c r="B1917" s="52"/>
      <c r="C1917" s="1738" t="str">
        <f>"Pada tahun anggaran "&amp;'2.ISIAN DATA SKPD'!D11&amp;" "&amp;'2.ISIAN DATA SKPD'!D2&amp;" tidak terdapat surplus/defisit Non Operasional"</f>
        <v>Pada tahun anggaran 2017 Kecamatan Kaliwiro tidak terdapat surplus/defisit Non Operasional</v>
      </c>
      <c r="D1917" s="1738"/>
      <c r="E1917" s="1738"/>
      <c r="F1917" s="1738"/>
      <c r="G1917" s="1738"/>
      <c r="H1917" s="1738"/>
      <c r="I1917" s="1738"/>
      <c r="J1917" s="1738"/>
      <c r="K1917" s="1738"/>
      <c r="L1917" s="1738"/>
      <c r="M1917" s="1738"/>
      <c r="N1917" s="1738"/>
      <c r="O1917" s="1738"/>
      <c r="P1917" s="1738"/>
      <c r="Q1917" s="1738"/>
      <c r="R1917" s="1738"/>
      <c r="S1917" s="1738"/>
      <c r="T1917" s="1738"/>
      <c r="U1917" s="1738"/>
      <c r="V1917" s="52"/>
    </row>
    <row r="1918" spans="1:22" s="141" customFormat="1" ht="6.75" customHeight="1">
      <c r="A1918" s="114"/>
      <c r="B1918" s="52"/>
      <c r="C1918" s="74"/>
      <c r="D1918" s="145"/>
      <c r="E1918" s="145"/>
      <c r="F1918" s="145"/>
      <c r="G1918" s="145"/>
      <c r="H1918" s="145"/>
      <c r="I1918" s="145"/>
      <c r="J1918" s="145"/>
      <c r="K1918" s="145"/>
      <c r="L1918" s="629"/>
      <c r="M1918" s="629"/>
      <c r="N1918" s="629"/>
      <c r="O1918" s="629"/>
      <c r="P1918" s="629"/>
      <c r="Q1918" s="629"/>
      <c r="R1918" s="629"/>
      <c r="S1918" s="628"/>
      <c r="T1918" s="628"/>
      <c r="U1918" s="628"/>
      <c r="V1918" s="52"/>
    </row>
    <row r="1919" spans="1:22" s="141" customFormat="1" ht="12.75" customHeight="1">
      <c r="A1919" s="114"/>
      <c r="B1919" s="115" t="s">
        <v>1612</v>
      </c>
      <c r="C1919" s="74"/>
      <c r="D1919" s="145"/>
      <c r="E1919" s="145"/>
      <c r="F1919" s="145"/>
      <c r="G1919" s="145"/>
      <c r="H1919" s="145"/>
      <c r="I1919" s="145"/>
      <c r="J1919" s="145"/>
      <c r="K1919" s="145"/>
      <c r="L1919" s="629"/>
      <c r="M1919" s="629"/>
      <c r="N1919" s="629"/>
      <c r="O1919" s="629"/>
      <c r="P1919" s="629"/>
      <c r="Q1919" s="629"/>
      <c r="R1919" s="629"/>
      <c r="S1919" s="628"/>
      <c r="T1919" s="628"/>
      <c r="U1919" s="628"/>
      <c r="V1919" s="52"/>
    </row>
    <row r="1920" spans="1:22" s="141" customFormat="1" ht="15" customHeight="1">
      <c r="A1920" s="114"/>
      <c r="B1920" s="115"/>
      <c r="C1920" s="1423" t="s">
        <v>1613</v>
      </c>
      <c r="D1920" s="1423"/>
      <c r="E1920" s="1423"/>
      <c r="F1920" s="1423"/>
      <c r="G1920" s="1423"/>
      <c r="H1920" s="1423"/>
      <c r="I1920" s="1423"/>
      <c r="J1920" s="1423"/>
      <c r="K1920" s="1423"/>
      <c r="L1920" s="1423"/>
      <c r="M1920" s="1423"/>
      <c r="N1920" s="1423"/>
      <c r="O1920" s="1423"/>
      <c r="P1920" s="1423"/>
      <c r="Q1920" s="1423"/>
      <c r="R1920" s="1423"/>
      <c r="S1920" s="1423"/>
      <c r="T1920" s="1423"/>
      <c r="U1920" s="1423"/>
      <c r="V1920" s="52"/>
    </row>
    <row r="1921" spans="1:22" s="141" customFormat="1" ht="31.5" customHeight="1">
      <c r="A1921" s="114"/>
      <c r="B1921" s="52"/>
      <c r="D1921" s="1738" t="str">
        <f>"Pada tahun anggaran "&amp;'2.ISIAN DATA SKPD'!D11&amp;" dan tahun "&amp;'2.ISIAN DATA SKPD'!D12&amp;" "&amp;'2.ISIAN DATA SKPD'!D2&amp;" tidak terdapat Pendapatan Luar Biasa"</f>
        <v>Pada tahun anggaran 2017 dan tahun 2016 Kecamatan Kaliwiro tidak terdapat Pendapatan Luar Biasa</v>
      </c>
      <c r="E1921" s="1738"/>
      <c r="F1921" s="1738"/>
      <c r="G1921" s="1738"/>
      <c r="H1921" s="1738"/>
      <c r="I1921" s="1738"/>
      <c r="J1921" s="1738"/>
      <c r="K1921" s="1738"/>
      <c r="L1921" s="1738"/>
      <c r="M1921" s="1738"/>
      <c r="N1921" s="1738"/>
      <c r="O1921" s="1738"/>
      <c r="P1921" s="1738"/>
      <c r="Q1921" s="1738"/>
      <c r="R1921" s="1738"/>
      <c r="S1921" s="1738"/>
      <c r="T1921" s="1738"/>
      <c r="U1921" s="1738"/>
      <c r="V1921" s="52"/>
    </row>
    <row r="1922" spans="1:22" s="141" customFormat="1" ht="16.5" customHeight="1">
      <c r="A1922" s="114"/>
      <c r="B1922" s="52"/>
      <c r="C1922" s="1423" t="s">
        <v>1614</v>
      </c>
      <c r="D1922" s="1423"/>
      <c r="E1922" s="1423"/>
      <c r="F1922" s="1423"/>
      <c r="G1922" s="1423"/>
      <c r="H1922" s="1423"/>
      <c r="I1922" s="1423"/>
      <c r="J1922" s="1423"/>
      <c r="K1922" s="1423"/>
      <c r="L1922" s="1423"/>
      <c r="M1922" s="1423"/>
      <c r="N1922" s="1423"/>
      <c r="O1922" s="1423"/>
      <c r="P1922" s="1423"/>
      <c r="Q1922" s="1423"/>
      <c r="R1922" s="1423"/>
      <c r="S1922" s="1423"/>
      <c r="T1922" s="1423"/>
      <c r="U1922" s="1423"/>
      <c r="V1922" s="52"/>
    </row>
    <row r="1923" spans="1:22" s="141" customFormat="1" ht="29.25" customHeight="1">
      <c r="A1923" s="114"/>
      <c r="B1923" s="52"/>
      <c r="C1923" s="74"/>
      <c r="D1923" s="1738" t="str">
        <f>"Pada tahun anggaran "&amp;'2.ISIAN DATA SKPD'!D11&amp;" dan tahun "&amp;'2.ISIAN DATA SKPD'!D12&amp;" "&amp;'2.ISIAN DATA SKPD'!D2&amp;" tidak terdapat Beban Luar Biasa"</f>
        <v>Pada tahun anggaran 2017 dan tahun 2016 Kecamatan Kaliwiro tidak terdapat Beban Luar Biasa</v>
      </c>
      <c r="E1923" s="1738"/>
      <c r="F1923" s="1738"/>
      <c r="G1923" s="1738"/>
      <c r="H1923" s="1738"/>
      <c r="I1923" s="1738"/>
      <c r="J1923" s="1738"/>
      <c r="K1923" s="1738"/>
      <c r="L1923" s="1738"/>
      <c r="M1923" s="1738"/>
      <c r="N1923" s="1738"/>
      <c r="O1923" s="1738"/>
      <c r="P1923" s="1738"/>
      <c r="Q1923" s="1738"/>
      <c r="R1923" s="1738"/>
      <c r="S1923" s="1738"/>
      <c r="T1923" s="1738"/>
      <c r="U1923" s="1738"/>
      <c r="V1923" s="52"/>
    </row>
    <row r="1924" spans="1:22" s="141" customFormat="1" ht="37.5" customHeight="1">
      <c r="A1924" s="114"/>
      <c r="B1924" s="52"/>
      <c r="C1924" s="74"/>
      <c r="D1924" s="628"/>
      <c r="E1924" s="628"/>
      <c r="F1924" s="628"/>
      <c r="G1924" s="628"/>
      <c r="H1924" s="628"/>
      <c r="I1924" s="628"/>
      <c r="J1924" s="628"/>
      <c r="K1924" s="628"/>
      <c r="L1924" s="628"/>
      <c r="M1924" s="628"/>
      <c r="N1924" s="628"/>
      <c r="O1924" s="628"/>
      <c r="P1924" s="628"/>
      <c r="Q1924" s="628"/>
      <c r="R1924" s="628"/>
      <c r="S1924" s="628"/>
      <c r="T1924" s="628"/>
      <c r="U1924" s="628"/>
      <c r="V1924" s="52"/>
    </row>
    <row r="1925" spans="1:24" s="141" customFormat="1" ht="18" customHeight="1">
      <c r="A1925" s="114"/>
      <c r="B1925" s="115" t="s">
        <v>1682</v>
      </c>
      <c r="C1925" s="74"/>
      <c r="D1925" s="628"/>
      <c r="E1925" s="628"/>
      <c r="F1925" s="628"/>
      <c r="G1925" s="628"/>
      <c r="H1925" s="628"/>
      <c r="I1925" s="628"/>
      <c r="J1925" s="628"/>
      <c r="K1925" s="628"/>
      <c r="L1925" s="628"/>
      <c r="M1925" s="628"/>
      <c r="N1925" s="628"/>
      <c r="O1925" s="628"/>
      <c r="P1925" s="628"/>
      <c r="Q1925" s="628"/>
      <c r="R1925" s="628"/>
      <c r="S1925" s="628"/>
      <c r="T1925" s="628"/>
      <c r="U1925" s="628"/>
      <c r="V1925" s="52"/>
      <c r="X1925" s="810"/>
    </row>
    <row r="1926" spans="1:29" s="141" customFormat="1" ht="58.5" customHeight="1">
      <c r="A1926" s="114"/>
      <c r="B1926" s="115"/>
      <c r="C1926" s="1091" t="str">
        <f>"Realisasi Surplus/Defisit-LO "&amp;'2.ISIAN DATA SKPD'!D2&amp;" tahun anggaran "&amp;'2.ISIAN DATA SKPD'!D11&amp;" sebesar Rp. 0 Apabila dibandingkan dengan Realisasi Surplus/Desfisit LO tahun "&amp;'2.ISIAN DATA SKPD'!D12&amp;" sebesar Rp. 0 Maka terdapat kenaikan/penurunan sebesar Rp. 0, atau 0 %."</f>
        <v>Realisasi Surplus/Defisit-LO Kecamatan Kaliwiro tahun anggaran 2017 sebesar Rp. 0 Apabila dibandingkan dengan Realisasi Surplus/Desfisit LO tahun 2016 sebesar Rp. 0 Maka terdapat kenaikan/penurunan sebesar Rp. 0, atau 0 %.</v>
      </c>
      <c r="D1926" s="1091"/>
      <c r="E1926" s="1091"/>
      <c r="F1926" s="1091"/>
      <c r="G1926" s="1091"/>
      <c r="H1926" s="1091"/>
      <c r="I1926" s="1091"/>
      <c r="J1926" s="1091"/>
      <c r="K1926" s="1091"/>
      <c r="L1926" s="1091"/>
      <c r="M1926" s="1091"/>
      <c r="N1926" s="1091"/>
      <c r="O1926" s="1091"/>
      <c r="P1926" s="1091"/>
      <c r="Q1926" s="1091"/>
      <c r="R1926" s="1091"/>
      <c r="S1926" s="1091"/>
      <c r="T1926" s="1091"/>
      <c r="U1926" s="1091"/>
      <c r="V1926" s="52"/>
      <c r="AC1926" s="810"/>
    </row>
    <row r="1927" spans="1:22" s="141" customFormat="1" ht="7.5" customHeight="1">
      <c r="A1927" s="114"/>
      <c r="B1927" s="52"/>
      <c r="C1927" s="74"/>
      <c r="D1927" s="628"/>
      <c r="E1927" s="628"/>
      <c r="F1927" s="628"/>
      <c r="G1927" s="628"/>
      <c r="H1927" s="628"/>
      <c r="I1927" s="628"/>
      <c r="J1927" s="628"/>
      <c r="K1927" s="628"/>
      <c r="L1927" s="628"/>
      <c r="M1927" s="628"/>
      <c r="N1927" s="628"/>
      <c r="O1927" s="628"/>
      <c r="P1927" s="628"/>
      <c r="Q1927" s="628"/>
      <c r="R1927" s="628"/>
      <c r="S1927" s="628"/>
      <c r="T1927" s="628"/>
      <c r="U1927" s="628"/>
      <c r="V1927" s="52"/>
    </row>
    <row r="1928" spans="1:22" s="141" customFormat="1" ht="15" customHeight="1">
      <c r="A1928" s="114"/>
      <c r="B1928" s="811" t="s">
        <v>1539</v>
      </c>
      <c r="C1928" s="1637" t="s">
        <v>53</v>
      </c>
      <c r="D1928" s="1637"/>
      <c r="E1928" s="1637"/>
      <c r="F1928" s="1637"/>
      <c r="G1928" s="1637"/>
      <c r="H1928" s="1637"/>
      <c r="I1928" s="1637"/>
      <c r="J1928" s="1637"/>
      <c r="K1928" s="1637"/>
      <c r="L1928" s="1637"/>
      <c r="M1928" s="1637"/>
      <c r="N1928" s="1637"/>
      <c r="O1928" s="1637"/>
      <c r="P1928" s="1637"/>
      <c r="Q1928" s="1637"/>
      <c r="R1928" s="1637"/>
      <c r="S1928" s="1637"/>
      <c r="T1928" s="1637"/>
      <c r="U1928" s="1637"/>
      <c r="V1928" s="52"/>
    </row>
    <row r="1929" spans="1:22" s="141" customFormat="1" ht="45.75" customHeight="1">
      <c r="A1929" s="114"/>
      <c r="B1929" s="811"/>
      <c r="C1929" s="1091" t="str">
        <f>"Laporan Perubahan Ekuitas "&amp;'2.ISIAN DATA SKPD'!D2&amp;" tahun anggaran "&amp;'2.ISIAN DATA SKPD'!D11&amp;". Menyajikan informasi mengani kenaikan dan penurunan ekuitas selama tahun anggaran "&amp;'2.ISIAN DATA SKPD'!D11&amp;"."</f>
        <v>Laporan Perubahan Ekuitas Kecamatan Kaliwiro tahun anggaran 2017. Menyajikan informasi mengani kenaikan dan penurunan ekuitas selama tahun anggaran 2017.</v>
      </c>
      <c r="D1929" s="1091"/>
      <c r="E1929" s="1091"/>
      <c r="F1929" s="1091"/>
      <c r="G1929" s="1091"/>
      <c r="H1929" s="1091"/>
      <c r="I1929" s="1091"/>
      <c r="J1929" s="1091"/>
      <c r="K1929" s="1091"/>
      <c r="L1929" s="1091"/>
      <c r="M1929" s="1091"/>
      <c r="N1929" s="1091"/>
      <c r="O1929" s="1091"/>
      <c r="P1929" s="1091"/>
      <c r="Q1929" s="1091"/>
      <c r="R1929" s="1091"/>
      <c r="S1929" s="1091"/>
      <c r="T1929" s="1091"/>
      <c r="U1929" s="1091"/>
      <c r="V1929" s="52"/>
    </row>
    <row r="1930" spans="1:22" s="141" customFormat="1" ht="77.25" customHeight="1">
      <c r="A1930" s="114"/>
      <c r="B1930" s="811"/>
      <c r="C1930" s="1091" t="str">
        <f>"Ekuitas per  "&amp;'2.ISIAN DATA SKPD'!D8&amp;" sebesar Rp. "&amp;FIXED('6.LPE'!C24)&amp;" berasal dari Saldo Awal Ekuitas per "&amp;'2.ISIAN DATA SKPD'!D9&amp;" sebesar Rp. "&amp;FIXED('6.LPE'!C9)&amp;" ditambah Surplus/Defisit-LO Tahun Anggaran "&amp;'2.ISIAN DATA SKPD'!D11&amp;" sebesar Rp. "&amp;FIXED('6.LPE'!C10)&amp;" ditambah dampak kumulatif perubahan kebijakan/kesalahan mendasar tahun anggaran "&amp;'2.ISIAN DATA SKPD'!D11&amp;" sebesar Rp. "&amp;FIXED('6.LPE'!C12)&amp;""</f>
        <v>Ekuitas per  31 Desember 2017 sebesar Rp. 6,369,503,512.00 berasal dari Saldo Awal Ekuitas per 31 Desember 2016 sebesar Rp. 4,261,721,512.00 ditambah Surplus/Defisit-LO Tahun Anggaran 2017 sebesar Rp. -3,469,441,315.00 ditambah dampak kumulatif perubahan kebijakan/kesalahan mendasar tahun anggaran 2017 sebesar Rp. -3,751,119,064.00</v>
      </c>
      <c r="D1930" s="1091"/>
      <c r="E1930" s="1091"/>
      <c r="F1930" s="1091"/>
      <c r="G1930" s="1091"/>
      <c r="H1930" s="1091"/>
      <c r="I1930" s="1091"/>
      <c r="J1930" s="1091"/>
      <c r="K1930" s="1091"/>
      <c r="L1930" s="1091"/>
      <c r="M1930" s="1091"/>
      <c r="N1930" s="1091"/>
      <c r="O1930" s="1091"/>
      <c r="P1930" s="1091"/>
      <c r="Q1930" s="1091"/>
      <c r="R1930" s="1091"/>
      <c r="S1930" s="1091"/>
      <c r="T1930" s="1091"/>
      <c r="U1930" s="1091"/>
      <c r="V1930" s="52"/>
    </row>
    <row r="1931" spans="1:22" s="141" customFormat="1" ht="17.25" customHeight="1">
      <c r="A1931" s="114"/>
      <c r="B1931" s="715" t="s">
        <v>1683</v>
      </c>
      <c r="C1931" s="812"/>
      <c r="D1931" s="812"/>
      <c r="E1931" s="812"/>
      <c r="F1931" s="812"/>
      <c r="G1931" s="812"/>
      <c r="H1931" s="812"/>
      <c r="I1931" s="812"/>
      <c r="J1931" s="812"/>
      <c r="K1931" s="812"/>
      <c r="L1931" s="812"/>
      <c r="M1931" s="812"/>
      <c r="N1931" s="812"/>
      <c r="O1931" s="812"/>
      <c r="P1931" s="812"/>
      <c r="Q1931" s="812"/>
      <c r="R1931" s="812"/>
      <c r="S1931" s="812"/>
      <c r="T1931" s="812"/>
      <c r="U1931" s="812"/>
      <c r="V1931" s="52"/>
    </row>
    <row r="1932" spans="1:22" s="141" customFormat="1" ht="33" customHeight="1">
      <c r="A1932" s="114"/>
      <c r="B1932" s="811"/>
      <c r="C1932" s="1337" t="str">
        <f>"Ekuitas awal tahun anggaran "&amp;'2.ISIAN DATA SKPD'!D11&amp;" sebesar Rp. "&amp;FIXED('6.LPE'!C9)&amp;" berasal dari Saldo Ekuitas Neraca per "&amp;'2.ISIAN DATA SKPD'!D9&amp;" setelah audit."</f>
        <v>Ekuitas awal tahun anggaran 2017 sebesar Rp. 4,261,721,512.00 berasal dari Saldo Ekuitas Neraca per 31 Desember 2016 setelah audit.</v>
      </c>
      <c r="D1932" s="1337"/>
      <c r="E1932" s="1337"/>
      <c r="F1932" s="1337"/>
      <c r="G1932" s="1337"/>
      <c r="H1932" s="1337"/>
      <c r="I1932" s="1337"/>
      <c r="J1932" s="1337"/>
      <c r="K1932" s="1337"/>
      <c r="L1932" s="1337"/>
      <c r="M1932" s="1337"/>
      <c r="N1932" s="1337"/>
      <c r="O1932" s="1337"/>
      <c r="P1932" s="1337"/>
      <c r="Q1932" s="1337"/>
      <c r="R1932" s="1337"/>
      <c r="S1932" s="1337"/>
      <c r="T1932" s="1337"/>
      <c r="U1932" s="1337"/>
      <c r="V1932" s="52"/>
    </row>
    <row r="1933" spans="1:22" s="141" customFormat="1" ht="6" customHeight="1">
      <c r="A1933" s="114"/>
      <c r="B1933" s="811"/>
      <c r="C1933" s="812"/>
      <c r="D1933" s="812"/>
      <c r="E1933" s="812"/>
      <c r="F1933" s="812"/>
      <c r="G1933" s="812"/>
      <c r="H1933" s="812"/>
      <c r="I1933" s="812"/>
      <c r="J1933" s="812"/>
      <c r="K1933" s="812"/>
      <c r="L1933" s="812"/>
      <c r="M1933" s="812"/>
      <c r="N1933" s="812"/>
      <c r="O1933" s="812"/>
      <c r="P1933" s="812"/>
      <c r="Q1933" s="812"/>
      <c r="R1933" s="812"/>
      <c r="S1933" s="812"/>
      <c r="T1933" s="812"/>
      <c r="U1933" s="812"/>
      <c r="V1933" s="52"/>
    </row>
    <row r="1934" spans="1:22" s="141" customFormat="1" ht="18" customHeight="1">
      <c r="A1934" s="114"/>
      <c r="B1934" s="715" t="str">
        <f>"3.4.2. Surplus Defisit LO  Tahun Anggaran "&amp;'2.ISIAN DATA SKPD'!D11&amp;""</f>
        <v>3.4.2. Surplus Defisit LO  Tahun Anggaran 2017</v>
      </c>
      <c r="C1934" s="812"/>
      <c r="D1934" s="812"/>
      <c r="E1934" s="812"/>
      <c r="F1934" s="812"/>
      <c r="G1934" s="812"/>
      <c r="H1934" s="812"/>
      <c r="I1934" s="812"/>
      <c r="J1934" s="812"/>
      <c r="K1934" s="812"/>
      <c r="L1934" s="812"/>
      <c r="M1934" s="812"/>
      <c r="N1934" s="812"/>
      <c r="O1934" s="812"/>
      <c r="P1934" s="812"/>
      <c r="Q1934" s="812"/>
      <c r="R1934" s="812"/>
      <c r="S1934" s="812"/>
      <c r="T1934" s="812"/>
      <c r="U1934" s="812"/>
      <c r="V1934" s="52"/>
    </row>
    <row r="1935" spans="1:22" s="141" customFormat="1" ht="45" customHeight="1">
      <c r="A1935" s="114"/>
      <c r="B1935" s="811"/>
      <c r="C1935" s="1337" t="str">
        <f>"Surplus/Defisit LO tahun anggaran "&amp;'2.ISIAN DATA SKPD'!D11&amp;"  sebesar Rp. "&amp;FIXED('6.LPE'!C10)&amp;" berasal dari Pendapatan-LO dikurangi Beban tahun anggaran "&amp;'2.ISIAN DATA SKPD'!D11&amp;" sebagaimana dapat dilihat pada laporan operasional."</f>
        <v>Surplus/Defisit LO tahun anggaran 2017  sebesar Rp. -3,469,441,315.00 berasal dari Pendapatan-LO dikurangi Beban tahun anggaran 2017 sebagaimana dapat dilihat pada laporan operasional.</v>
      </c>
      <c r="D1935" s="1337"/>
      <c r="E1935" s="1337"/>
      <c r="F1935" s="1337"/>
      <c r="G1935" s="1337"/>
      <c r="H1935" s="1337"/>
      <c r="I1935" s="1337"/>
      <c r="J1935" s="1337"/>
      <c r="K1935" s="1337"/>
      <c r="L1935" s="1337"/>
      <c r="M1935" s="1337"/>
      <c r="N1935" s="1337"/>
      <c r="O1935" s="1337"/>
      <c r="P1935" s="1337"/>
      <c r="Q1935" s="1337"/>
      <c r="R1935" s="1337"/>
      <c r="S1935" s="1337"/>
      <c r="T1935" s="1337"/>
      <c r="U1935" s="1337"/>
      <c r="V1935" s="52"/>
    </row>
    <row r="1936" spans="1:22" s="141" customFormat="1" ht="19.5" customHeight="1">
      <c r="A1936" s="114"/>
      <c r="B1936" s="811"/>
      <c r="C1936" s="812"/>
      <c r="D1936" s="812"/>
      <c r="E1936" s="812"/>
      <c r="F1936" s="812"/>
      <c r="G1936" s="812"/>
      <c r="H1936" s="812"/>
      <c r="I1936" s="812"/>
      <c r="J1936" s="812"/>
      <c r="K1936" s="812"/>
      <c r="L1936" s="812"/>
      <c r="M1936" s="812"/>
      <c r="N1936" s="812"/>
      <c r="O1936" s="812"/>
      <c r="P1936" s="812"/>
      <c r="Q1936" s="812"/>
      <c r="R1936" s="812"/>
      <c r="S1936" s="812"/>
      <c r="T1936" s="812"/>
      <c r="U1936" s="812"/>
      <c r="V1936" s="52"/>
    </row>
    <row r="1937" spans="1:22" s="141" customFormat="1" ht="18" customHeight="1">
      <c r="A1937" s="114"/>
      <c r="B1937" s="715" t="s">
        <v>1684</v>
      </c>
      <c r="C1937" s="812"/>
      <c r="D1937" s="812"/>
      <c r="E1937" s="812"/>
      <c r="F1937" s="812"/>
      <c r="G1937" s="812"/>
      <c r="H1937" s="812"/>
      <c r="I1937" s="812"/>
      <c r="J1937" s="812"/>
      <c r="K1937" s="812"/>
      <c r="L1937" s="812"/>
      <c r="M1937" s="812"/>
      <c r="N1937" s="812"/>
      <c r="O1937" s="812"/>
      <c r="P1937" s="812"/>
      <c r="Q1937" s="812"/>
      <c r="R1937" s="812"/>
      <c r="S1937" s="812"/>
      <c r="T1937" s="812"/>
      <c r="U1937" s="812"/>
      <c r="V1937" s="52"/>
    </row>
    <row r="1938" spans="1:22" s="141" customFormat="1" ht="30.75" customHeight="1">
      <c r="A1938" s="114"/>
      <c r="B1938" s="811"/>
      <c r="C1938" s="1337" t="str">
        <f>"Dampak komulatif perubahan kebijakan/kesalahan atas ekuitas awal sebesar Rp. "&amp;FIXED('6.LPE'!C12)&amp;" yang terdiri dari :"</f>
        <v>Dampak komulatif perubahan kebijakan/kesalahan atas ekuitas awal sebesar Rp. -3,751,119,064.00 yang terdiri dari :</v>
      </c>
      <c r="D1938" s="1337"/>
      <c r="E1938" s="1337"/>
      <c r="F1938" s="1337"/>
      <c r="G1938" s="1337"/>
      <c r="H1938" s="1337"/>
      <c r="I1938" s="1337"/>
      <c r="J1938" s="1337"/>
      <c r="K1938" s="1337"/>
      <c r="L1938" s="1337"/>
      <c r="M1938" s="1337"/>
      <c r="N1938" s="1337"/>
      <c r="O1938" s="1337"/>
      <c r="P1938" s="1337"/>
      <c r="Q1938" s="1337"/>
      <c r="R1938" s="1337"/>
      <c r="S1938" s="1337"/>
      <c r="T1938" s="1337"/>
      <c r="U1938" s="1337"/>
      <c r="V1938" s="52"/>
    </row>
    <row r="1939" spans="1:22" s="141" customFormat="1" ht="17.25" customHeight="1">
      <c r="A1939" s="114"/>
      <c r="B1939" s="811"/>
      <c r="C1939" s="1111" t="s">
        <v>1615</v>
      </c>
      <c r="D1939" s="1111"/>
      <c r="E1939" s="1111"/>
      <c r="F1939" s="1111"/>
      <c r="G1939" s="1111"/>
      <c r="H1939" s="1111"/>
      <c r="I1939" s="1111"/>
      <c r="J1939" s="1111"/>
      <c r="K1939" s="1111"/>
      <c r="L1939" s="1111"/>
      <c r="M1939" s="1111"/>
      <c r="N1939" s="1111"/>
      <c r="O1939" s="846" t="s">
        <v>1554</v>
      </c>
      <c r="P1939" s="1110">
        <f>SUM(P1940:U1944)</f>
        <v>328327500</v>
      </c>
      <c r="Q1939" s="1110"/>
      <c r="R1939" s="1110"/>
      <c r="S1939" s="1110"/>
      <c r="T1939" s="1110"/>
      <c r="U1939" s="1110"/>
      <c r="V1939" s="52"/>
    </row>
    <row r="1940" spans="1:22" s="141" customFormat="1" ht="15.75" customHeight="1">
      <c r="A1940" s="114"/>
      <c r="B1940" s="811"/>
      <c r="C1940" s="1112" t="str">
        <f>'6.LPE'!B15</f>
        <v>       Serah terima skpd</v>
      </c>
      <c r="D1940" s="1112"/>
      <c r="E1940" s="1112"/>
      <c r="F1940" s="1112"/>
      <c r="G1940" s="1112"/>
      <c r="H1940" s="1112"/>
      <c r="I1940" s="1112"/>
      <c r="J1940" s="1112"/>
      <c r="K1940" s="1112"/>
      <c r="L1940" s="1112"/>
      <c r="M1940" s="1112"/>
      <c r="N1940" s="1112"/>
      <c r="O1940" s="847" t="s">
        <v>1554</v>
      </c>
      <c r="P1940" s="1110">
        <f>'6.LPE'!C15</f>
        <v>0</v>
      </c>
      <c r="Q1940" s="1110"/>
      <c r="R1940" s="1110"/>
      <c r="S1940" s="1110"/>
      <c r="T1940" s="1110"/>
      <c r="U1940" s="1110"/>
      <c r="V1940" s="52"/>
    </row>
    <row r="1941" spans="1:22" s="141" customFormat="1" ht="16.5" customHeight="1">
      <c r="A1941" s="114"/>
      <c r="B1941" s="811"/>
      <c r="C1941" s="1111" t="str">
        <f>'6.LPE'!B16</f>
        <v>       Mutasi AA 9930 NF dari BPPKAD</v>
      </c>
      <c r="D1941" s="1111"/>
      <c r="E1941" s="1111"/>
      <c r="F1941" s="1111"/>
      <c r="G1941" s="1111"/>
      <c r="H1941" s="1111"/>
      <c r="I1941" s="1111"/>
      <c r="J1941" s="1111"/>
      <c r="K1941" s="1111"/>
      <c r="L1941" s="1111"/>
      <c r="M1941" s="1111"/>
      <c r="N1941" s="1111"/>
      <c r="O1941" s="847" t="s">
        <v>1554</v>
      </c>
      <c r="P1941" s="1110">
        <f>'6.LPE'!C16</f>
        <v>17000000</v>
      </c>
      <c r="Q1941" s="1110"/>
      <c r="R1941" s="1110"/>
      <c r="S1941" s="1110"/>
      <c r="T1941" s="1110"/>
      <c r="U1941" s="1110"/>
      <c r="V1941" s="52"/>
    </row>
    <row r="1942" spans="1:22" s="141" customFormat="1" ht="21" customHeight="1">
      <c r="A1942" s="114"/>
      <c r="B1942" s="811"/>
      <c r="C1942" s="1111" t="str">
        <f>'6.LPE'!B17</f>
        <v>       Mutasi AA 112 F dari BPPKAD</v>
      </c>
      <c r="D1942" s="1111"/>
      <c r="E1942" s="1111"/>
      <c r="F1942" s="1111"/>
      <c r="G1942" s="1111"/>
      <c r="H1942" s="1111"/>
      <c r="I1942" s="1111"/>
      <c r="J1942" s="1111"/>
      <c r="K1942" s="1111"/>
      <c r="L1942" s="1111"/>
      <c r="M1942" s="1111"/>
      <c r="N1942" s="1111"/>
      <c r="O1942" s="847" t="s">
        <v>1554</v>
      </c>
      <c r="P1942" s="1110">
        <f>'6.LPE'!C17</f>
        <v>173227500</v>
      </c>
      <c r="Q1942" s="1110"/>
      <c r="R1942" s="1110"/>
      <c r="S1942" s="1110"/>
      <c r="T1942" s="1110"/>
      <c r="U1942" s="1110"/>
      <c r="V1942" s="52"/>
    </row>
    <row r="1943" spans="1:22" s="141" customFormat="1" ht="21" customHeight="1">
      <c r="A1943" s="836"/>
      <c r="B1943" s="811"/>
      <c r="C1943" s="1111" t="str">
        <f>'6.LPE'!B18</f>
        <v>       Mutasi AA 53 F dari BAPPEDA</v>
      </c>
      <c r="D1943" s="1111"/>
      <c r="E1943" s="1111"/>
      <c r="F1943" s="1111"/>
      <c r="G1943" s="1111"/>
      <c r="H1943" s="1111"/>
      <c r="I1943" s="1111"/>
      <c r="J1943" s="1111"/>
      <c r="K1943" s="1111"/>
      <c r="L1943" s="1111"/>
      <c r="M1943" s="1111"/>
      <c r="N1943" s="1111"/>
      <c r="O1943" s="847" t="s">
        <v>1554</v>
      </c>
      <c r="P1943" s="1110">
        <f>'6.LPE'!C18</f>
        <v>34000000</v>
      </c>
      <c r="Q1943" s="1110"/>
      <c r="R1943" s="1110"/>
      <c r="S1943" s="1110"/>
      <c r="T1943" s="1110"/>
      <c r="U1943" s="1110"/>
      <c r="V1943" s="52"/>
    </row>
    <row r="1944" spans="1:22" s="141" customFormat="1" ht="21" customHeight="1">
      <c r="A1944" s="836"/>
      <c r="B1944" s="811"/>
      <c r="C1944" s="1111" t="str">
        <f>'6.LPE'!B21</f>
        <v>       Akm Peny AA 112 F/AA9502UF </v>
      </c>
      <c r="D1944" s="1111"/>
      <c r="E1944" s="1111"/>
      <c r="F1944" s="1111"/>
      <c r="G1944" s="1111"/>
      <c r="H1944" s="1111"/>
      <c r="I1944" s="1111"/>
      <c r="J1944" s="1111"/>
      <c r="K1944" s="1111"/>
      <c r="L1944" s="1111"/>
      <c r="M1944" s="1111"/>
      <c r="N1944" s="1111"/>
      <c r="O1944" s="847" t="s">
        <v>1554</v>
      </c>
      <c r="P1944" s="1110">
        <f>'6.LPE'!C21</f>
        <v>104100000</v>
      </c>
      <c r="Q1944" s="1110"/>
      <c r="R1944" s="1110"/>
      <c r="S1944" s="1110"/>
      <c r="T1944" s="1110"/>
      <c r="U1944" s="1110"/>
      <c r="V1944" s="52"/>
    </row>
    <row r="1945" spans="1:22" s="141" customFormat="1" ht="21" customHeight="1">
      <c r="A1945" s="114"/>
      <c r="B1945" s="811"/>
      <c r="C1945" s="1111" t="s">
        <v>1616</v>
      </c>
      <c r="D1945" s="1111"/>
      <c r="E1945" s="1111"/>
      <c r="F1945" s="1111"/>
      <c r="G1945" s="1111"/>
      <c r="H1945" s="1111"/>
      <c r="I1945" s="1111"/>
      <c r="J1945" s="1111"/>
      <c r="K1945" s="1111"/>
      <c r="L1945" s="1111"/>
      <c r="M1945" s="1111"/>
      <c r="N1945" s="1111"/>
      <c r="O1945" s="846" t="s">
        <v>1554</v>
      </c>
      <c r="P1945" s="1110">
        <f>SUM(P1946:U1950)</f>
        <v>-3975346564</v>
      </c>
      <c r="Q1945" s="1110"/>
      <c r="R1945" s="1110"/>
      <c r="S1945" s="1110"/>
      <c r="T1945" s="1110"/>
      <c r="U1945" s="1110"/>
      <c r="V1945" s="52"/>
    </row>
    <row r="1946" spans="1:22" s="141" customFormat="1" ht="18" customHeight="1">
      <c r="A1946" s="114"/>
      <c r="B1946" s="811"/>
      <c r="C1946" s="1111" t="str">
        <f>'6.LPE'!B15</f>
        <v>       Serah terima skpd</v>
      </c>
      <c r="D1946" s="1111"/>
      <c r="E1946" s="1111"/>
      <c r="F1946" s="1111"/>
      <c r="G1946" s="1111"/>
      <c r="H1946" s="1111"/>
      <c r="I1946" s="1111"/>
      <c r="J1946" s="1111"/>
      <c r="K1946" s="1111"/>
      <c r="L1946" s="1111"/>
      <c r="M1946" s="1111"/>
      <c r="N1946" s="1111"/>
      <c r="O1946" s="847" t="s">
        <v>1554</v>
      </c>
      <c r="P1946" s="1110">
        <v>0</v>
      </c>
      <c r="Q1946" s="1110"/>
      <c r="R1946" s="1110"/>
      <c r="S1946" s="1110"/>
      <c r="T1946" s="1110"/>
      <c r="U1946" s="1110"/>
      <c r="V1946" s="52"/>
    </row>
    <row r="1947" spans="1:22" s="141" customFormat="1" ht="17.25" customHeight="1">
      <c r="A1947" s="114"/>
      <c r="B1947" s="811"/>
      <c r="C1947" s="1111" t="str">
        <f>'6.LPE'!B19</f>
        <v>       Akm Peny AA 53 F </v>
      </c>
      <c r="D1947" s="1111"/>
      <c r="E1947" s="1111"/>
      <c r="F1947" s="1111"/>
      <c r="G1947" s="1111"/>
      <c r="H1947" s="1111"/>
      <c r="I1947" s="1111"/>
      <c r="J1947" s="1111"/>
      <c r="K1947" s="1111"/>
      <c r="L1947" s="1111"/>
      <c r="M1947" s="1111"/>
      <c r="N1947" s="1111"/>
      <c r="O1947" s="847" t="s">
        <v>1554</v>
      </c>
      <c r="P1947" s="1110">
        <f>'6.LPE'!C19</f>
        <v>-34000000</v>
      </c>
      <c r="Q1947" s="1110"/>
      <c r="R1947" s="1110"/>
      <c r="S1947" s="1110"/>
      <c r="T1947" s="1110"/>
      <c r="U1947" s="1110"/>
      <c r="V1947" s="52"/>
    </row>
    <row r="1948" spans="1:22" s="141" customFormat="1" ht="18.75" customHeight="1">
      <c r="A1948" s="114"/>
      <c r="B1948" s="811"/>
      <c r="C1948" s="1111" t="str">
        <f>'6.LPE'!B20</f>
        <v>       Mutasi AA 112 F/AA9502UF ke DPU PR</v>
      </c>
      <c r="D1948" s="1111"/>
      <c r="E1948" s="1111"/>
      <c r="F1948" s="1111"/>
      <c r="G1948" s="1111"/>
      <c r="H1948" s="1111"/>
      <c r="I1948" s="1111"/>
      <c r="J1948" s="1111"/>
      <c r="K1948" s="1111"/>
      <c r="L1948" s="1111"/>
      <c r="M1948" s="1111"/>
      <c r="N1948" s="1111"/>
      <c r="O1948" s="847" t="s">
        <v>1554</v>
      </c>
      <c r="P1948" s="1110">
        <f>'6.LPE'!C20</f>
        <v>-104100000</v>
      </c>
      <c r="Q1948" s="1110"/>
      <c r="R1948" s="1110"/>
      <c r="S1948" s="1110"/>
      <c r="T1948" s="1110"/>
      <c r="U1948" s="1110"/>
      <c r="V1948" s="52"/>
    </row>
    <row r="1949" spans="1:22" s="141" customFormat="1" ht="21" customHeight="1" hidden="1">
      <c r="A1949" s="114"/>
      <c r="B1949" s="811"/>
      <c r="C1949" s="1111" t="str">
        <f>'6.LPE'!B21</f>
        <v>       Akm Peny AA 112 F/AA9502UF </v>
      </c>
      <c r="D1949" s="1111"/>
      <c r="E1949" s="1111"/>
      <c r="F1949" s="1111"/>
      <c r="G1949" s="1111"/>
      <c r="H1949" s="1111"/>
      <c r="I1949" s="1111"/>
      <c r="J1949" s="1111"/>
      <c r="K1949" s="1111"/>
      <c r="L1949" s="1111"/>
      <c r="M1949" s="1111"/>
      <c r="N1949" s="1111"/>
      <c r="O1949" s="847" t="s">
        <v>1554</v>
      </c>
      <c r="P1949" s="1110">
        <f>'6.LPE'!C21</f>
        <v>104100000</v>
      </c>
      <c r="Q1949" s="1110"/>
      <c r="R1949" s="1110"/>
      <c r="S1949" s="1110"/>
      <c r="T1949" s="1110"/>
      <c r="U1949" s="1110"/>
      <c r="V1949" s="52"/>
    </row>
    <row r="1950" spans="1:22" s="141" customFormat="1" ht="15">
      <c r="A1950" s="114"/>
      <c r="B1950" s="811"/>
      <c r="C1950" s="1111" t="str">
        <f>'6.LPE'!B22</f>
        <v>       Mutasi ke DPU PR</v>
      </c>
      <c r="D1950" s="1111"/>
      <c r="E1950" s="1111"/>
      <c r="F1950" s="1111"/>
      <c r="G1950" s="1111"/>
      <c r="H1950" s="1111"/>
      <c r="I1950" s="1111"/>
      <c r="J1950" s="1111"/>
      <c r="K1950" s="1111"/>
      <c r="L1950" s="1111"/>
      <c r="M1950" s="1111"/>
      <c r="N1950" s="1111"/>
      <c r="O1950" s="847" t="s">
        <v>1554</v>
      </c>
      <c r="P1950" s="1110">
        <f>'6.LPE'!C22</f>
        <v>-3941346564</v>
      </c>
      <c r="Q1950" s="1110"/>
      <c r="R1950" s="1110"/>
      <c r="S1950" s="1110"/>
      <c r="T1950" s="1110"/>
      <c r="U1950" s="1110"/>
      <c r="V1950" s="52"/>
    </row>
    <row r="1951" spans="1:22" s="141" customFormat="1" ht="15">
      <c r="A1951" s="836"/>
      <c r="B1951" s="811"/>
      <c r="C1951" s="1470"/>
      <c r="D1951" s="1470"/>
      <c r="E1951" s="1470"/>
      <c r="F1951" s="1470"/>
      <c r="G1951" s="1470"/>
      <c r="H1951" s="1470"/>
      <c r="I1951" s="1470"/>
      <c r="J1951" s="1470"/>
      <c r="K1951" s="1470"/>
      <c r="L1951" s="1470"/>
      <c r="M1951" s="1470"/>
      <c r="N1951" s="1470"/>
      <c r="O1951" s="812"/>
      <c r="P1951" s="812"/>
      <c r="Q1951" s="812"/>
      <c r="R1951" s="812"/>
      <c r="S1951" s="812"/>
      <c r="T1951" s="812"/>
      <c r="U1951" s="812"/>
      <c r="V1951" s="52"/>
    </row>
    <row r="1952" spans="1:22" s="141" customFormat="1" ht="15">
      <c r="A1952" s="836"/>
      <c r="B1952" s="811"/>
      <c r="C1952" s="812"/>
      <c r="D1952" s="812"/>
      <c r="E1952" s="812"/>
      <c r="F1952" s="812"/>
      <c r="G1952" s="812"/>
      <c r="H1952" s="812"/>
      <c r="I1952" s="812"/>
      <c r="J1952" s="812"/>
      <c r="K1952" s="812"/>
      <c r="L1952" s="812"/>
      <c r="M1952" s="812"/>
      <c r="N1952" s="812"/>
      <c r="O1952" s="812"/>
      <c r="P1952" s="812"/>
      <c r="Q1952" s="812"/>
      <c r="R1952" s="812"/>
      <c r="S1952" s="812"/>
      <c r="T1952" s="812"/>
      <c r="U1952" s="812"/>
      <c r="V1952" s="52"/>
    </row>
    <row r="1953" spans="1:22" s="141" customFormat="1" ht="15">
      <c r="A1953" s="836"/>
      <c r="B1953" s="811"/>
      <c r="C1953" s="812"/>
      <c r="D1953" s="812"/>
      <c r="E1953" s="812"/>
      <c r="F1953" s="812"/>
      <c r="G1953" s="812"/>
      <c r="H1953" s="812"/>
      <c r="I1953" s="812"/>
      <c r="J1953" s="812"/>
      <c r="K1953" s="812"/>
      <c r="L1953" s="812"/>
      <c r="M1953" s="812"/>
      <c r="N1953" s="812"/>
      <c r="O1953" s="812"/>
      <c r="P1953" s="812"/>
      <c r="Q1953" s="812"/>
      <c r="R1953" s="812"/>
      <c r="S1953" s="812"/>
      <c r="T1953" s="812"/>
      <c r="U1953" s="812"/>
      <c r="V1953" s="52"/>
    </row>
    <row r="1954" spans="1:22" s="141" customFormat="1" ht="15">
      <c r="A1954" s="836"/>
      <c r="B1954" s="811"/>
      <c r="C1954" s="812"/>
      <c r="D1954" s="812"/>
      <c r="E1954" s="812"/>
      <c r="F1954" s="812"/>
      <c r="G1954" s="812"/>
      <c r="H1954" s="812"/>
      <c r="I1954" s="812"/>
      <c r="J1954" s="812"/>
      <c r="K1954" s="812"/>
      <c r="L1954" s="812"/>
      <c r="M1954" s="812"/>
      <c r="N1954" s="812"/>
      <c r="O1954" s="812"/>
      <c r="P1954" s="812"/>
      <c r="Q1954" s="812"/>
      <c r="R1954" s="812"/>
      <c r="S1954" s="812"/>
      <c r="T1954" s="812"/>
      <c r="U1954" s="812"/>
      <c r="V1954" s="52"/>
    </row>
    <row r="1955" spans="1:22" s="141" customFormat="1" ht="15">
      <c r="A1955" s="836"/>
      <c r="B1955" s="811"/>
      <c r="C1955" s="812"/>
      <c r="D1955" s="812"/>
      <c r="E1955" s="812"/>
      <c r="F1955" s="812"/>
      <c r="G1955" s="812"/>
      <c r="H1955" s="812"/>
      <c r="I1955" s="812"/>
      <c r="J1955" s="812"/>
      <c r="K1955" s="812"/>
      <c r="L1955" s="812"/>
      <c r="M1955" s="812"/>
      <c r="N1955" s="812"/>
      <c r="O1955" s="812"/>
      <c r="P1955" s="812"/>
      <c r="Q1955" s="812"/>
      <c r="R1955" s="812"/>
      <c r="S1955" s="812"/>
      <c r="T1955" s="812"/>
      <c r="U1955" s="812"/>
      <c r="V1955" s="52"/>
    </row>
    <row r="1956" spans="1:22" s="141" customFormat="1" ht="15">
      <c r="A1956" s="836"/>
      <c r="B1956" s="811"/>
      <c r="C1956" s="812"/>
      <c r="D1956" s="812"/>
      <c r="E1956" s="812"/>
      <c r="F1956" s="812"/>
      <c r="G1956" s="812"/>
      <c r="H1956" s="812"/>
      <c r="I1956" s="812"/>
      <c r="J1956" s="812"/>
      <c r="K1956" s="812"/>
      <c r="L1956" s="812"/>
      <c r="M1956" s="812"/>
      <c r="N1956" s="812"/>
      <c r="O1956" s="812"/>
      <c r="P1956" s="812"/>
      <c r="Q1956" s="812"/>
      <c r="R1956" s="812"/>
      <c r="S1956" s="812"/>
      <c r="T1956" s="812"/>
      <c r="U1956" s="812"/>
      <c r="V1956" s="52"/>
    </row>
    <row r="1957" spans="1:22" s="141" customFormat="1" ht="15">
      <c r="A1957" s="836"/>
      <c r="B1957" s="811"/>
      <c r="C1957" s="812"/>
      <c r="D1957" s="812"/>
      <c r="E1957" s="812"/>
      <c r="F1957" s="812"/>
      <c r="G1957" s="812"/>
      <c r="H1957" s="812"/>
      <c r="I1957" s="812"/>
      <c r="J1957" s="812"/>
      <c r="K1957" s="812"/>
      <c r="L1957" s="812"/>
      <c r="M1957" s="812"/>
      <c r="N1957" s="812"/>
      <c r="O1957" s="812"/>
      <c r="P1957" s="812"/>
      <c r="Q1957" s="812"/>
      <c r="R1957" s="812"/>
      <c r="S1957" s="812"/>
      <c r="T1957" s="812"/>
      <c r="U1957" s="812"/>
      <c r="V1957" s="52"/>
    </row>
    <row r="1958" spans="1:22" s="141" customFormat="1" ht="15">
      <c r="A1958" s="836"/>
      <c r="B1958" s="811"/>
      <c r="C1958" s="812"/>
      <c r="D1958" s="812"/>
      <c r="E1958" s="812"/>
      <c r="F1958" s="812"/>
      <c r="G1958" s="812"/>
      <c r="H1958" s="812"/>
      <c r="I1958" s="812"/>
      <c r="J1958" s="812"/>
      <c r="K1958" s="812"/>
      <c r="L1958" s="812"/>
      <c r="M1958" s="812"/>
      <c r="N1958" s="812"/>
      <c r="O1958" s="812"/>
      <c r="P1958" s="812"/>
      <c r="Q1958" s="812"/>
      <c r="R1958" s="812"/>
      <c r="S1958" s="812"/>
      <c r="T1958" s="812"/>
      <c r="U1958" s="812"/>
      <c r="V1958" s="52"/>
    </row>
    <row r="1959" spans="1:22" s="141" customFormat="1" ht="15">
      <c r="A1959" s="836"/>
      <c r="B1959" s="811"/>
      <c r="C1959" s="812"/>
      <c r="D1959" s="812"/>
      <c r="E1959" s="812"/>
      <c r="F1959" s="812"/>
      <c r="G1959" s="812"/>
      <c r="H1959" s="812"/>
      <c r="I1959" s="812"/>
      <c r="J1959" s="812"/>
      <c r="K1959" s="812"/>
      <c r="L1959" s="812"/>
      <c r="M1959" s="812"/>
      <c r="N1959" s="812"/>
      <c r="O1959" s="812"/>
      <c r="P1959" s="812"/>
      <c r="Q1959" s="812"/>
      <c r="R1959" s="812"/>
      <c r="S1959" s="812"/>
      <c r="T1959" s="812"/>
      <c r="U1959" s="812"/>
      <c r="V1959" s="52"/>
    </row>
    <row r="1960" spans="1:22" s="141" customFormat="1" ht="15">
      <c r="A1960" s="836"/>
      <c r="B1960" s="811"/>
      <c r="C1960" s="812"/>
      <c r="D1960" s="812"/>
      <c r="E1960" s="812"/>
      <c r="F1960" s="812"/>
      <c r="G1960" s="812"/>
      <c r="H1960" s="812"/>
      <c r="I1960" s="812"/>
      <c r="J1960" s="812"/>
      <c r="K1960" s="812"/>
      <c r="L1960" s="812"/>
      <c r="M1960" s="812"/>
      <c r="N1960" s="812"/>
      <c r="O1960" s="812"/>
      <c r="P1960" s="812"/>
      <c r="Q1960" s="812"/>
      <c r="R1960" s="812"/>
      <c r="S1960" s="812"/>
      <c r="T1960" s="812"/>
      <c r="U1960" s="812"/>
      <c r="V1960" s="52"/>
    </row>
    <row r="1961" spans="1:22" s="141" customFormat="1" ht="6" customHeight="1">
      <c r="A1961" s="836"/>
      <c r="B1961" s="811"/>
      <c r="C1961" s="812"/>
      <c r="D1961" s="812"/>
      <c r="E1961" s="812"/>
      <c r="F1961" s="812"/>
      <c r="G1961" s="812"/>
      <c r="H1961" s="812"/>
      <c r="I1961" s="812"/>
      <c r="J1961" s="812"/>
      <c r="K1961" s="812"/>
      <c r="L1961" s="812"/>
      <c r="M1961" s="812"/>
      <c r="N1961" s="812"/>
      <c r="O1961" s="812"/>
      <c r="P1961" s="812"/>
      <c r="Q1961" s="812"/>
      <c r="R1961" s="812"/>
      <c r="S1961" s="812"/>
      <c r="T1961" s="812"/>
      <c r="U1961" s="812"/>
      <c r="V1961" s="52"/>
    </row>
    <row r="1962" spans="1:22" s="141" customFormat="1" ht="15" hidden="1">
      <c r="A1962" s="836"/>
      <c r="B1962" s="811"/>
      <c r="C1962" s="812"/>
      <c r="D1962" s="812"/>
      <c r="E1962" s="812"/>
      <c r="F1962" s="812"/>
      <c r="G1962" s="812"/>
      <c r="H1962" s="812"/>
      <c r="I1962" s="812"/>
      <c r="J1962" s="812"/>
      <c r="K1962" s="812"/>
      <c r="L1962" s="812"/>
      <c r="M1962" s="812"/>
      <c r="N1962" s="812"/>
      <c r="O1962" s="812"/>
      <c r="P1962" s="812"/>
      <c r="Q1962" s="812"/>
      <c r="R1962" s="812"/>
      <c r="S1962" s="812"/>
      <c r="T1962" s="812"/>
      <c r="U1962" s="812"/>
      <c r="V1962" s="52"/>
    </row>
    <row r="1963" spans="1:22" s="141" customFormat="1" ht="15" hidden="1">
      <c r="A1963" s="836"/>
      <c r="B1963" s="811"/>
      <c r="C1963" s="812"/>
      <c r="D1963" s="812"/>
      <c r="E1963" s="812"/>
      <c r="F1963" s="812"/>
      <c r="G1963" s="812"/>
      <c r="H1963" s="812"/>
      <c r="I1963" s="812"/>
      <c r="J1963" s="812"/>
      <c r="K1963" s="812"/>
      <c r="L1963" s="812"/>
      <c r="M1963" s="812"/>
      <c r="N1963" s="812"/>
      <c r="O1963" s="812"/>
      <c r="P1963" s="812"/>
      <c r="Q1963" s="812"/>
      <c r="R1963" s="812"/>
      <c r="S1963" s="812"/>
      <c r="T1963" s="812"/>
      <c r="U1963" s="812"/>
      <c r="V1963" s="52"/>
    </row>
    <row r="1964" spans="1:22" s="141" customFormat="1" ht="2.25" customHeight="1">
      <c r="A1964" s="836"/>
      <c r="B1964" s="811"/>
      <c r="C1964" s="812"/>
      <c r="D1964" s="812"/>
      <c r="E1964" s="812"/>
      <c r="F1964" s="812"/>
      <c r="G1964" s="812"/>
      <c r="H1964" s="812"/>
      <c r="I1964" s="812"/>
      <c r="J1964" s="812"/>
      <c r="K1964" s="812"/>
      <c r="L1964" s="812"/>
      <c r="M1964" s="812"/>
      <c r="N1964" s="812"/>
      <c r="O1964" s="812"/>
      <c r="P1964" s="812"/>
      <c r="Q1964" s="812"/>
      <c r="R1964" s="812"/>
      <c r="S1964" s="812"/>
      <c r="T1964" s="812"/>
      <c r="U1964" s="812"/>
      <c r="V1964" s="52"/>
    </row>
    <row r="1965" spans="1:22" s="141" customFormat="1" ht="15" hidden="1">
      <c r="A1965" s="836"/>
      <c r="B1965" s="811"/>
      <c r="C1965" s="812"/>
      <c r="D1965" s="812"/>
      <c r="E1965" s="812"/>
      <c r="F1965" s="812"/>
      <c r="G1965" s="812"/>
      <c r="H1965" s="812"/>
      <c r="I1965" s="812"/>
      <c r="J1965" s="812"/>
      <c r="K1965" s="812"/>
      <c r="L1965" s="812"/>
      <c r="M1965" s="812"/>
      <c r="N1965" s="812"/>
      <c r="O1965" s="812"/>
      <c r="P1965" s="812"/>
      <c r="Q1965" s="812"/>
      <c r="R1965" s="812"/>
      <c r="S1965" s="812"/>
      <c r="T1965" s="812"/>
      <c r="U1965" s="812"/>
      <c r="V1965" s="52"/>
    </row>
    <row r="1966" spans="1:22" s="141" customFormat="1" ht="15" hidden="1">
      <c r="A1966" s="836"/>
      <c r="B1966" s="811"/>
      <c r="C1966" s="812"/>
      <c r="D1966" s="812"/>
      <c r="E1966" s="812"/>
      <c r="F1966" s="812"/>
      <c r="G1966" s="812"/>
      <c r="H1966" s="812"/>
      <c r="I1966" s="812"/>
      <c r="J1966" s="812"/>
      <c r="K1966" s="812"/>
      <c r="L1966" s="812"/>
      <c r="M1966" s="812"/>
      <c r="N1966" s="812"/>
      <c r="O1966" s="812"/>
      <c r="P1966" s="812"/>
      <c r="Q1966" s="812"/>
      <c r="R1966" s="812"/>
      <c r="S1966" s="812"/>
      <c r="T1966" s="812"/>
      <c r="U1966" s="812"/>
      <c r="V1966" s="52"/>
    </row>
    <row r="1967" spans="1:22" s="141" customFormat="1" ht="15" hidden="1">
      <c r="A1967" s="836"/>
      <c r="B1967" s="811"/>
      <c r="C1967" s="812"/>
      <c r="D1967" s="812"/>
      <c r="E1967" s="812"/>
      <c r="F1967" s="812"/>
      <c r="G1967" s="812"/>
      <c r="H1967" s="812"/>
      <c r="I1967" s="812"/>
      <c r="J1967" s="812"/>
      <c r="K1967" s="812"/>
      <c r="L1967" s="812"/>
      <c r="M1967" s="812"/>
      <c r="N1967" s="812"/>
      <c r="O1967" s="812"/>
      <c r="P1967" s="812"/>
      <c r="Q1967" s="812"/>
      <c r="R1967" s="812"/>
      <c r="S1967" s="812"/>
      <c r="T1967" s="812"/>
      <c r="U1967" s="812"/>
      <c r="V1967" s="52"/>
    </row>
    <row r="1968" spans="1:22" s="141" customFormat="1" ht="15" hidden="1">
      <c r="A1968" s="836"/>
      <c r="B1968" s="811"/>
      <c r="C1968" s="812"/>
      <c r="D1968" s="812"/>
      <c r="E1968" s="812"/>
      <c r="F1968" s="812"/>
      <c r="G1968" s="812"/>
      <c r="H1968" s="812"/>
      <c r="I1968" s="812"/>
      <c r="J1968" s="812"/>
      <c r="K1968" s="812"/>
      <c r="L1968" s="812"/>
      <c r="M1968" s="812"/>
      <c r="N1968" s="812"/>
      <c r="O1968" s="812"/>
      <c r="P1968" s="812"/>
      <c r="Q1968" s="812"/>
      <c r="R1968" s="812"/>
      <c r="S1968" s="812"/>
      <c r="T1968" s="812"/>
      <c r="U1968" s="812"/>
      <c r="V1968" s="52"/>
    </row>
    <row r="1969" spans="1:22" s="141" customFormat="1" ht="15" hidden="1">
      <c r="A1969" s="836"/>
      <c r="B1969" s="811"/>
      <c r="C1969" s="812"/>
      <c r="D1969" s="812"/>
      <c r="E1969" s="812"/>
      <c r="F1969" s="812"/>
      <c r="G1969" s="812"/>
      <c r="H1969" s="812"/>
      <c r="I1969" s="812"/>
      <c r="J1969" s="812"/>
      <c r="K1969" s="812"/>
      <c r="L1969" s="812"/>
      <c r="M1969" s="812"/>
      <c r="N1969" s="812"/>
      <c r="O1969" s="812"/>
      <c r="P1969" s="812"/>
      <c r="Q1969" s="812"/>
      <c r="R1969" s="812"/>
      <c r="S1969" s="812"/>
      <c r="T1969" s="812"/>
      <c r="U1969" s="812"/>
      <c r="V1969" s="52"/>
    </row>
    <row r="1970" spans="1:22" s="141" customFormat="1" ht="15" hidden="1">
      <c r="A1970" s="836"/>
      <c r="B1970" s="811"/>
      <c r="C1970" s="812"/>
      <c r="D1970" s="812"/>
      <c r="E1970" s="812"/>
      <c r="F1970" s="812"/>
      <c r="G1970" s="812"/>
      <c r="H1970" s="812"/>
      <c r="I1970" s="812"/>
      <c r="J1970" s="812"/>
      <c r="K1970" s="812"/>
      <c r="L1970" s="812"/>
      <c r="M1970" s="812"/>
      <c r="N1970" s="812"/>
      <c r="O1970" s="812"/>
      <c r="P1970" s="812"/>
      <c r="Q1970" s="812"/>
      <c r="R1970" s="812"/>
      <c r="S1970" s="812"/>
      <c r="T1970" s="812"/>
      <c r="U1970" s="812"/>
      <c r="V1970" s="52"/>
    </row>
    <row r="1971" spans="1:22" s="141" customFormat="1" ht="15" hidden="1">
      <c r="A1971" s="836"/>
      <c r="B1971" s="811"/>
      <c r="C1971" s="812"/>
      <c r="D1971" s="812"/>
      <c r="E1971" s="812"/>
      <c r="F1971" s="812"/>
      <c r="G1971" s="812"/>
      <c r="H1971" s="812"/>
      <c r="I1971" s="812"/>
      <c r="J1971" s="812"/>
      <c r="K1971" s="812"/>
      <c r="L1971" s="812"/>
      <c r="M1971" s="812"/>
      <c r="N1971" s="812"/>
      <c r="O1971" s="812"/>
      <c r="P1971" s="812"/>
      <c r="Q1971" s="812"/>
      <c r="R1971" s="812"/>
      <c r="S1971" s="812"/>
      <c r="T1971" s="812"/>
      <c r="U1971" s="812"/>
      <c r="V1971" s="52"/>
    </row>
    <row r="1972" spans="1:22" s="141" customFormat="1" ht="15" hidden="1">
      <c r="A1972" s="836"/>
      <c r="B1972" s="811"/>
      <c r="C1972" s="812"/>
      <c r="D1972" s="812"/>
      <c r="E1972" s="812"/>
      <c r="F1972" s="812"/>
      <c r="G1972" s="812"/>
      <c r="H1972" s="812"/>
      <c r="I1972" s="812"/>
      <c r="J1972" s="812"/>
      <c r="K1972" s="812"/>
      <c r="L1972" s="812"/>
      <c r="M1972" s="812"/>
      <c r="N1972" s="812"/>
      <c r="O1972" s="812"/>
      <c r="P1972" s="812"/>
      <c r="Q1972" s="812"/>
      <c r="R1972" s="812"/>
      <c r="S1972" s="812"/>
      <c r="T1972" s="812"/>
      <c r="U1972" s="812"/>
      <c r="V1972" s="52"/>
    </row>
    <row r="1973" spans="1:22" s="141" customFormat="1" ht="15" hidden="1">
      <c r="A1973" s="836"/>
      <c r="B1973" s="811"/>
      <c r="C1973" s="812"/>
      <c r="D1973" s="812"/>
      <c r="E1973" s="812"/>
      <c r="F1973" s="812"/>
      <c r="G1973" s="812"/>
      <c r="H1973" s="812"/>
      <c r="I1973" s="812"/>
      <c r="J1973" s="812"/>
      <c r="K1973" s="812"/>
      <c r="L1973" s="812"/>
      <c r="M1973" s="812"/>
      <c r="N1973" s="812"/>
      <c r="O1973" s="812"/>
      <c r="P1973" s="812"/>
      <c r="Q1973" s="812"/>
      <c r="R1973" s="812"/>
      <c r="S1973" s="812"/>
      <c r="T1973" s="812"/>
      <c r="U1973" s="812"/>
      <c r="V1973" s="52"/>
    </row>
    <row r="1974" spans="1:22" s="141" customFormat="1" ht="15" hidden="1">
      <c r="A1974" s="836"/>
      <c r="B1974" s="811"/>
      <c r="C1974" s="812"/>
      <c r="D1974" s="812"/>
      <c r="E1974" s="812"/>
      <c r="F1974" s="812"/>
      <c r="G1974" s="812"/>
      <c r="H1974" s="812"/>
      <c r="I1974" s="812"/>
      <c r="J1974" s="812"/>
      <c r="K1974" s="812"/>
      <c r="L1974" s="812"/>
      <c r="M1974" s="812"/>
      <c r="N1974" s="812"/>
      <c r="O1974" s="812"/>
      <c r="P1974" s="812"/>
      <c r="Q1974" s="812"/>
      <c r="R1974" s="812"/>
      <c r="S1974" s="812"/>
      <c r="T1974" s="812"/>
      <c r="U1974" s="812"/>
      <c r="V1974" s="52"/>
    </row>
    <row r="1975" spans="1:22" s="141" customFormat="1" ht="13.5" customHeight="1">
      <c r="A1975" s="836"/>
      <c r="B1975" s="811"/>
      <c r="C1975" s="812"/>
      <c r="D1975" s="812"/>
      <c r="E1975" s="812"/>
      <c r="F1975" s="812"/>
      <c r="G1975" s="812"/>
      <c r="H1975" s="812"/>
      <c r="I1975" s="812"/>
      <c r="J1975" s="812"/>
      <c r="K1975" s="812"/>
      <c r="L1975" s="812"/>
      <c r="M1975" s="812"/>
      <c r="N1975" s="812"/>
      <c r="O1975" s="812"/>
      <c r="P1975" s="812"/>
      <c r="Q1975" s="812"/>
      <c r="R1975" s="812"/>
      <c r="S1975" s="812"/>
      <c r="T1975" s="812"/>
      <c r="U1975" s="812"/>
      <c r="V1975" s="52"/>
    </row>
    <row r="1976" spans="1:22" s="141" customFormat="1" ht="15" hidden="1">
      <c r="A1976" s="836"/>
      <c r="B1976" s="811"/>
      <c r="C1976" s="812"/>
      <c r="D1976" s="812"/>
      <c r="E1976" s="812"/>
      <c r="F1976" s="812"/>
      <c r="G1976" s="812"/>
      <c r="H1976" s="812"/>
      <c r="I1976" s="812"/>
      <c r="J1976" s="812"/>
      <c r="K1976" s="812"/>
      <c r="L1976" s="812"/>
      <c r="M1976" s="812"/>
      <c r="N1976" s="812"/>
      <c r="O1976" s="812"/>
      <c r="P1976" s="812"/>
      <c r="Q1976" s="812"/>
      <c r="R1976" s="812"/>
      <c r="S1976" s="812"/>
      <c r="T1976" s="812"/>
      <c r="U1976" s="812"/>
      <c r="V1976" s="52"/>
    </row>
    <row r="1977" spans="1:22" s="141" customFormat="1" ht="15" hidden="1">
      <c r="A1977" s="836"/>
      <c r="B1977" s="811"/>
      <c r="C1977" s="812"/>
      <c r="D1977" s="812"/>
      <c r="E1977" s="812"/>
      <c r="F1977" s="812"/>
      <c r="G1977" s="812"/>
      <c r="H1977" s="812"/>
      <c r="I1977" s="812"/>
      <c r="J1977" s="812"/>
      <c r="K1977" s="812"/>
      <c r="L1977" s="812"/>
      <c r="M1977" s="812"/>
      <c r="N1977" s="812"/>
      <c r="O1977" s="812"/>
      <c r="P1977" s="812"/>
      <c r="Q1977" s="812"/>
      <c r="R1977" s="812"/>
      <c r="S1977" s="812"/>
      <c r="T1977" s="812"/>
      <c r="U1977" s="812"/>
      <c r="V1977" s="52"/>
    </row>
    <row r="1978" spans="1:22" s="141" customFormat="1" ht="15" hidden="1">
      <c r="A1978" s="836"/>
      <c r="B1978" s="811"/>
      <c r="C1978" s="812"/>
      <c r="D1978" s="812"/>
      <c r="E1978" s="812"/>
      <c r="F1978" s="812"/>
      <c r="G1978" s="812"/>
      <c r="H1978" s="812"/>
      <c r="I1978" s="812"/>
      <c r="J1978" s="812"/>
      <c r="K1978" s="812"/>
      <c r="L1978" s="812"/>
      <c r="M1978" s="812"/>
      <c r="N1978" s="812"/>
      <c r="O1978" s="812"/>
      <c r="P1978" s="812"/>
      <c r="Q1978" s="812"/>
      <c r="R1978" s="812"/>
      <c r="S1978" s="812"/>
      <c r="T1978" s="812"/>
      <c r="U1978" s="812"/>
      <c r="V1978" s="52"/>
    </row>
    <row r="1979" spans="1:22" s="141" customFormat="1" ht="15" hidden="1">
      <c r="A1979" s="836"/>
      <c r="B1979" s="811"/>
      <c r="C1979" s="812"/>
      <c r="D1979" s="812"/>
      <c r="E1979" s="812"/>
      <c r="F1979" s="812"/>
      <c r="G1979" s="812"/>
      <c r="H1979" s="812"/>
      <c r="I1979" s="812"/>
      <c r="J1979" s="812"/>
      <c r="K1979" s="812"/>
      <c r="L1979" s="812"/>
      <c r="M1979" s="812"/>
      <c r="N1979" s="812"/>
      <c r="O1979" s="812"/>
      <c r="P1979" s="812"/>
      <c r="Q1979" s="812"/>
      <c r="R1979" s="812"/>
      <c r="S1979" s="812"/>
      <c r="T1979" s="812"/>
      <c r="U1979" s="812"/>
      <c r="V1979" s="52"/>
    </row>
    <row r="1980" spans="1:22" s="141" customFormat="1" ht="15" hidden="1">
      <c r="A1980" s="836"/>
      <c r="B1980" s="811"/>
      <c r="C1980" s="812"/>
      <c r="D1980" s="812"/>
      <c r="E1980" s="812"/>
      <c r="F1980" s="812"/>
      <c r="G1980" s="812"/>
      <c r="H1980" s="812"/>
      <c r="I1980" s="812"/>
      <c r="J1980" s="812"/>
      <c r="K1980" s="812"/>
      <c r="L1980" s="812"/>
      <c r="M1980" s="812"/>
      <c r="N1980" s="812"/>
      <c r="O1980" s="812"/>
      <c r="P1980" s="812"/>
      <c r="Q1980" s="812"/>
      <c r="R1980" s="812"/>
      <c r="S1980" s="812"/>
      <c r="T1980" s="812"/>
      <c r="U1980" s="812"/>
      <c r="V1980" s="52"/>
    </row>
    <row r="1981" spans="1:22" s="141" customFormat="1" ht="15" hidden="1">
      <c r="A1981" s="836"/>
      <c r="B1981" s="811"/>
      <c r="C1981" s="812"/>
      <c r="D1981" s="812"/>
      <c r="E1981" s="812"/>
      <c r="F1981" s="812"/>
      <c r="G1981" s="812"/>
      <c r="H1981" s="812"/>
      <c r="I1981" s="812"/>
      <c r="J1981" s="812"/>
      <c r="K1981" s="812"/>
      <c r="L1981" s="812"/>
      <c r="M1981" s="812"/>
      <c r="N1981" s="812"/>
      <c r="O1981" s="812"/>
      <c r="P1981" s="812"/>
      <c r="Q1981" s="812"/>
      <c r="R1981" s="812"/>
      <c r="S1981" s="812"/>
      <c r="T1981" s="812"/>
      <c r="U1981" s="812"/>
      <c r="V1981" s="52"/>
    </row>
    <row r="1982" spans="1:22" s="141" customFormat="1" ht="15" hidden="1">
      <c r="A1982" s="836"/>
      <c r="B1982" s="811"/>
      <c r="C1982" s="812"/>
      <c r="D1982" s="812"/>
      <c r="E1982" s="812"/>
      <c r="F1982" s="812"/>
      <c r="G1982" s="812"/>
      <c r="H1982" s="812"/>
      <c r="I1982" s="812"/>
      <c r="J1982" s="812"/>
      <c r="K1982" s="812"/>
      <c r="L1982" s="812"/>
      <c r="M1982" s="812"/>
      <c r="N1982" s="812"/>
      <c r="O1982" s="812"/>
      <c r="P1982" s="812"/>
      <c r="Q1982" s="812"/>
      <c r="R1982" s="812"/>
      <c r="S1982" s="812"/>
      <c r="T1982" s="812"/>
      <c r="U1982" s="812"/>
      <c r="V1982" s="52"/>
    </row>
    <row r="1983" spans="1:22" s="141" customFormat="1" ht="15" hidden="1">
      <c r="A1983" s="836"/>
      <c r="B1983" s="811"/>
      <c r="C1983" s="812"/>
      <c r="D1983" s="812"/>
      <c r="E1983" s="812"/>
      <c r="F1983" s="812"/>
      <c r="G1983" s="812"/>
      <c r="H1983" s="812"/>
      <c r="I1983" s="812"/>
      <c r="J1983" s="812"/>
      <c r="K1983" s="812"/>
      <c r="L1983" s="812"/>
      <c r="M1983" s="812"/>
      <c r="N1983" s="812"/>
      <c r="O1983" s="812"/>
      <c r="P1983" s="812"/>
      <c r="Q1983" s="812"/>
      <c r="R1983" s="812"/>
      <c r="S1983" s="812"/>
      <c r="T1983" s="812"/>
      <c r="U1983" s="812"/>
      <c r="V1983" s="52"/>
    </row>
    <row r="1984" spans="1:22" s="141" customFormat="1" ht="15" hidden="1">
      <c r="A1984" s="836"/>
      <c r="B1984" s="811"/>
      <c r="C1984" s="812"/>
      <c r="D1984" s="812"/>
      <c r="E1984" s="812"/>
      <c r="F1984" s="812"/>
      <c r="G1984" s="812"/>
      <c r="H1984" s="812"/>
      <c r="I1984" s="812"/>
      <c r="J1984" s="812"/>
      <c r="K1984" s="812"/>
      <c r="L1984" s="812"/>
      <c r="M1984" s="812"/>
      <c r="N1984" s="812"/>
      <c r="O1984" s="812"/>
      <c r="P1984" s="812"/>
      <c r="Q1984" s="812"/>
      <c r="R1984" s="812"/>
      <c r="S1984" s="812"/>
      <c r="T1984" s="812"/>
      <c r="U1984" s="812"/>
      <c r="V1984" s="52"/>
    </row>
    <row r="1985" spans="1:22" s="141" customFormat="1" ht="15" hidden="1">
      <c r="A1985" s="836"/>
      <c r="B1985" s="811"/>
      <c r="C1985" s="812"/>
      <c r="D1985" s="812"/>
      <c r="E1985" s="812"/>
      <c r="F1985" s="812"/>
      <c r="G1985" s="812"/>
      <c r="H1985" s="812"/>
      <c r="I1985" s="812"/>
      <c r="J1985" s="812"/>
      <c r="K1985" s="812"/>
      <c r="L1985" s="812"/>
      <c r="M1985" s="812"/>
      <c r="N1985" s="812"/>
      <c r="O1985" s="812"/>
      <c r="P1985" s="812"/>
      <c r="Q1985" s="812"/>
      <c r="R1985" s="812"/>
      <c r="S1985" s="812"/>
      <c r="T1985" s="812"/>
      <c r="U1985" s="812"/>
      <c r="V1985" s="52"/>
    </row>
    <row r="1986" spans="1:22" s="141" customFormat="1" ht="15" hidden="1">
      <c r="A1986" s="836"/>
      <c r="B1986" s="811"/>
      <c r="C1986" s="812"/>
      <c r="D1986" s="812"/>
      <c r="E1986" s="812"/>
      <c r="F1986" s="812"/>
      <c r="G1986" s="812"/>
      <c r="H1986" s="812"/>
      <c r="I1986" s="812"/>
      <c r="J1986" s="812"/>
      <c r="K1986" s="812"/>
      <c r="L1986" s="812"/>
      <c r="M1986" s="812"/>
      <c r="N1986" s="812"/>
      <c r="O1986" s="812"/>
      <c r="P1986" s="812"/>
      <c r="Q1986" s="812"/>
      <c r="R1986" s="812"/>
      <c r="S1986" s="812"/>
      <c r="T1986" s="812"/>
      <c r="U1986" s="812"/>
      <c r="V1986" s="52"/>
    </row>
    <row r="1987" spans="1:22" s="141" customFormat="1" ht="15" hidden="1">
      <c r="A1987" s="836"/>
      <c r="B1987" s="811"/>
      <c r="C1987" s="812"/>
      <c r="D1987" s="812"/>
      <c r="E1987" s="812"/>
      <c r="F1987" s="812"/>
      <c r="G1987" s="812"/>
      <c r="H1987" s="812"/>
      <c r="I1987" s="812"/>
      <c r="J1987" s="812"/>
      <c r="K1987" s="812"/>
      <c r="L1987" s="812"/>
      <c r="M1987" s="812"/>
      <c r="N1987" s="812"/>
      <c r="O1987" s="812"/>
      <c r="P1987" s="812"/>
      <c r="Q1987" s="812"/>
      <c r="R1987" s="812"/>
      <c r="S1987" s="812"/>
      <c r="T1987" s="812"/>
      <c r="U1987" s="812"/>
      <c r="V1987" s="52"/>
    </row>
    <row r="1988" spans="1:22" s="141" customFormat="1" ht="15" hidden="1">
      <c r="A1988" s="836"/>
      <c r="B1988" s="811"/>
      <c r="C1988" s="812"/>
      <c r="D1988" s="812"/>
      <c r="E1988" s="812"/>
      <c r="F1988" s="812"/>
      <c r="G1988" s="812"/>
      <c r="H1988" s="812"/>
      <c r="I1988" s="812"/>
      <c r="J1988" s="812"/>
      <c r="K1988" s="812"/>
      <c r="L1988" s="812"/>
      <c r="M1988" s="812"/>
      <c r="N1988" s="812"/>
      <c r="O1988" s="812"/>
      <c r="P1988" s="812"/>
      <c r="Q1988" s="812"/>
      <c r="R1988" s="812"/>
      <c r="S1988" s="812"/>
      <c r="T1988" s="812"/>
      <c r="U1988" s="812"/>
      <c r="V1988" s="52"/>
    </row>
    <row r="1989" spans="1:22" s="141" customFormat="1" ht="15" hidden="1">
      <c r="A1989" s="836"/>
      <c r="B1989" s="811"/>
      <c r="C1989" s="812"/>
      <c r="D1989" s="812"/>
      <c r="E1989" s="812"/>
      <c r="F1989" s="812"/>
      <c r="G1989" s="812"/>
      <c r="H1989" s="812"/>
      <c r="I1989" s="812"/>
      <c r="J1989" s="812"/>
      <c r="K1989" s="812"/>
      <c r="L1989" s="812"/>
      <c r="M1989" s="812"/>
      <c r="N1989" s="812"/>
      <c r="O1989" s="812"/>
      <c r="P1989" s="812"/>
      <c r="Q1989" s="812"/>
      <c r="R1989" s="812"/>
      <c r="S1989" s="812"/>
      <c r="T1989" s="812"/>
      <c r="U1989" s="812"/>
      <c r="V1989" s="52"/>
    </row>
    <row r="1990" spans="1:22" s="141" customFormat="1" ht="10.5" customHeight="1" hidden="1">
      <c r="A1990" s="836"/>
      <c r="B1990" s="811"/>
      <c r="C1990" s="812"/>
      <c r="D1990" s="812"/>
      <c r="E1990" s="812"/>
      <c r="F1990" s="812"/>
      <c r="G1990" s="812"/>
      <c r="H1990" s="812"/>
      <c r="I1990" s="812"/>
      <c r="J1990" s="812"/>
      <c r="K1990" s="812"/>
      <c r="L1990" s="812"/>
      <c r="M1990" s="812"/>
      <c r="N1990" s="812"/>
      <c r="O1990" s="812"/>
      <c r="P1990" s="812"/>
      <c r="Q1990" s="812"/>
      <c r="R1990" s="812"/>
      <c r="S1990" s="812"/>
      <c r="T1990" s="812"/>
      <c r="U1990" s="812"/>
      <c r="V1990" s="52"/>
    </row>
    <row r="1991" spans="1:22" s="141" customFormat="1" ht="15" hidden="1">
      <c r="A1991" s="836"/>
      <c r="B1991" s="811"/>
      <c r="C1991" s="812"/>
      <c r="D1991" s="812"/>
      <c r="E1991" s="812"/>
      <c r="F1991" s="812"/>
      <c r="G1991" s="812"/>
      <c r="H1991" s="812"/>
      <c r="I1991" s="812"/>
      <c r="J1991" s="812"/>
      <c r="K1991" s="812"/>
      <c r="L1991" s="812"/>
      <c r="M1991" s="812"/>
      <c r="N1991" s="812"/>
      <c r="O1991" s="812"/>
      <c r="P1991" s="812"/>
      <c r="Q1991" s="812"/>
      <c r="R1991" s="812"/>
      <c r="S1991" s="812"/>
      <c r="T1991" s="812"/>
      <c r="U1991" s="812"/>
      <c r="V1991" s="52"/>
    </row>
    <row r="1992" spans="1:22" s="141" customFormat="1" ht="15" hidden="1">
      <c r="A1992" s="836"/>
      <c r="B1992" s="811"/>
      <c r="C1992" s="812"/>
      <c r="D1992" s="812"/>
      <c r="E1992" s="812"/>
      <c r="F1992" s="812"/>
      <c r="G1992" s="812"/>
      <c r="H1992" s="812"/>
      <c r="I1992" s="812"/>
      <c r="J1992" s="812"/>
      <c r="K1992" s="812"/>
      <c r="L1992" s="812"/>
      <c r="M1992" s="812"/>
      <c r="N1992" s="812"/>
      <c r="O1992" s="812"/>
      <c r="P1992" s="812"/>
      <c r="Q1992" s="812"/>
      <c r="R1992" s="812"/>
      <c r="S1992" s="812"/>
      <c r="T1992" s="812"/>
      <c r="U1992" s="812"/>
      <c r="V1992" s="52"/>
    </row>
    <row r="1993" spans="1:22" s="141" customFormat="1" ht="15" hidden="1">
      <c r="A1993" s="836"/>
      <c r="B1993" s="811"/>
      <c r="C1993" s="812"/>
      <c r="D1993" s="812"/>
      <c r="E1993" s="812"/>
      <c r="F1993" s="812"/>
      <c r="G1993" s="812"/>
      <c r="H1993" s="812"/>
      <c r="I1993" s="812"/>
      <c r="J1993" s="812"/>
      <c r="K1993" s="812"/>
      <c r="L1993" s="812"/>
      <c r="M1993" s="812"/>
      <c r="N1993" s="812"/>
      <c r="O1993" s="812"/>
      <c r="P1993" s="812"/>
      <c r="Q1993" s="812"/>
      <c r="R1993" s="812"/>
      <c r="S1993" s="812"/>
      <c r="T1993" s="812"/>
      <c r="U1993" s="812"/>
      <c r="V1993" s="52"/>
    </row>
    <row r="1994" spans="1:22" s="141" customFormat="1" ht="15" hidden="1">
      <c r="A1994" s="836"/>
      <c r="B1994" s="811"/>
      <c r="C1994" s="812"/>
      <c r="D1994" s="812"/>
      <c r="E1994" s="812"/>
      <c r="F1994" s="812"/>
      <c r="G1994" s="812"/>
      <c r="H1994" s="812"/>
      <c r="I1994" s="812"/>
      <c r="J1994" s="812"/>
      <c r="K1994" s="812"/>
      <c r="L1994" s="812"/>
      <c r="M1994" s="812"/>
      <c r="N1994" s="812"/>
      <c r="O1994" s="812"/>
      <c r="P1994" s="812"/>
      <c r="Q1994" s="812"/>
      <c r="R1994" s="812"/>
      <c r="S1994" s="812"/>
      <c r="T1994" s="812"/>
      <c r="U1994" s="812"/>
      <c r="V1994" s="52"/>
    </row>
    <row r="1995" spans="1:22" s="141" customFormat="1" ht="15" hidden="1">
      <c r="A1995" s="836"/>
      <c r="B1995" s="811"/>
      <c r="C1995" s="812"/>
      <c r="D1995" s="812"/>
      <c r="E1995" s="812"/>
      <c r="F1995" s="812"/>
      <c r="G1995" s="812"/>
      <c r="H1995" s="812"/>
      <c r="I1995" s="812"/>
      <c r="J1995" s="812"/>
      <c r="K1995" s="812"/>
      <c r="L1995" s="812"/>
      <c r="M1995" s="812"/>
      <c r="N1995" s="812"/>
      <c r="O1995" s="812"/>
      <c r="P1995" s="812"/>
      <c r="Q1995" s="812"/>
      <c r="R1995" s="812"/>
      <c r="S1995" s="812"/>
      <c r="T1995" s="812"/>
      <c r="U1995" s="812"/>
      <c r="V1995" s="52"/>
    </row>
    <row r="1996" spans="1:22" s="141" customFormat="1" ht="12.75" customHeight="1" hidden="1">
      <c r="A1996" s="836"/>
      <c r="B1996" s="811"/>
      <c r="C1996" s="812"/>
      <c r="D1996" s="812"/>
      <c r="E1996" s="812"/>
      <c r="F1996" s="812"/>
      <c r="G1996" s="812"/>
      <c r="H1996" s="812"/>
      <c r="I1996" s="812"/>
      <c r="J1996" s="812"/>
      <c r="K1996" s="812"/>
      <c r="L1996" s="812"/>
      <c r="M1996" s="812"/>
      <c r="N1996" s="812"/>
      <c r="O1996" s="812"/>
      <c r="P1996" s="812"/>
      <c r="Q1996" s="812"/>
      <c r="R1996" s="812"/>
      <c r="S1996" s="812"/>
      <c r="T1996" s="812"/>
      <c r="U1996" s="812"/>
      <c r="V1996" s="52"/>
    </row>
    <row r="1997" spans="1:22" s="141" customFormat="1" ht="15" hidden="1">
      <c r="A1997" s="836"/>
      <c r="B1997" s="811"/>
      <c r="C1997" s="812"/>
      <c r="D1997" s="812"/>
      <c r="E1997" s="812"/>
      <c r="F1997" s="812"/>
      <c r="G1997" s="812"/>
      <c r="H1997" s="812"/>
      <c r="I1997" s="812"/>
      <c r="J1997" s="812"/>
      <c r="K1997" s="812"/>
      <c r="L1997" s="812"/>
      <c r="M1997" s="812"/>
      <c r="N1997" s="812"/>
      <c r="O1997" s="812"/>
      <c r="P1997" s="812"/>
      <c r="Q1997" s="812"/>
      <c r="R1997" s="812"/>
      <c r="S1997" s="812"/>
      <c r="T1997" s="812"/>
      <c r="U1997" s="812"/>
      <c r="V1997" s="52"/>
    </row>
    <row r="1998" spans="1:22" s="141" customFormat="1" ht="15" hidden="1">
      <c r="A1998" s="836"/>
      <c r="B1998" s="811"/>
      <c r="C1998" s="812"/>
      <c r="D1998" s="812"/>
      <c r="E1998" s="812"/>
      <c r="F1998" s="812"/>
      <c r="G1998" s="812"/>
      <c r="H1998" s="812"/>
      <c r="I1998" s="812"/>
      <c r="J1998" s="812"/>
      <c r="K1998" s="812"/>
      <c r="L1998" s="812"/>
      <c r="M1998" s="812"/>
      <c r="N1998" s="812"/>
      <c r="O1998" s="812"/>
      <c r="P1998" s="812"/>
      <c r="Q1998" s="812"/>
      <c r="R1998" s="812"/>
      <c r="S1998" s="812"/>
      <c r="T1998" s="812"/>
      <c r="U1998" s="812"/>
      <c r="V1998" s="52"/>
    </row>
    <row r="1999" spans="1:22" s="141" customFormat="1" ht="15" hidden="1">
      <c r="A1999" s="836"/>
      <c r="B1999" s="811"/>
      <c r="C1999" s="812"/>
      <c r="D1999" s="812"/>
      <c r="E1999" s="812"/>
      <c r="F1999" s="812"/>
      <c r="G1999" s="812"/>
      <c r="H1999" s="812"/>
      <c r="I1999" s="812"/>
      <c r="J1999" s="812"/>
      <c r="K1999" s="812"/>
      <c r="L1999" s="812"/>
      <c r="M1999" s="812"/>
      <c r="N1999" s="812"/>
      <c r="O1999" s="812"/>
      <c r="P1999" s="812"/>
      <c r="Q1999" s="812"/>
      <c r="R1999" s="812"/>
      <c r="S1999" s="812"/>
      <c r="T1999" s="812"/>
      <c r="U1999" s="812"/>
      <c r="V1999" s="52"/>
    </row>
    <row r="2000" spans="1:22" s="141" customFormat="1" ht="15" hidden="1">
      <c r="A2000" s="836"/>
      <c r="B2000" s="811"/>
      <c r="C2000" s="812"/>
      <c r="D2000" s="812"/>
      <c r="E2000" s="812"/>
      <c r="F2000" s="812"/>
      <c r="G2000" s="812"/>
      <c r="H2000" s="812"/>
      <c r="I2000" s="812"/>
      <c r="J2000" s="812"/>
      <c r="K2000" s="812"/>
      <c r="L2000" s="812"/>
      <c r="M2000" s="812"/>
      <c r="N2000" s="812"/>
      <c r="O2000" s="812"/>
      <c r="P2000" s="812"/>
      <c r="Q2000" s="812"/>
      <c r="R2000" s="812"/>
      <c r="S2000" s="812"/>
      <c r="T2000" s="812"/>
      <c r="U2000" s="812"/>
      <c r="V2000" s="52"/>
    </row>
    <row r="2001" spans="1:22" s="141" customFormat="1" ht="15" hidden="1">
      <c r="A2001" s="836"/>
      <c r="B2001" s="811"/>
      <c r="C2001" s="812"/>
      <c r="D2001" s="812"/>
      <c r="E2001" s="812"/>
      <c r="F2001" s="812"/>
      <c r="G2001" s="812"/>
      <c r="H2001" s="812"/>
      <c r="I2001" s="812"/>
      <c r="J2001" s="812"/>
      <c r="K2001" s="812"/>
      <c r="L2001" s="812"/>
      <c r="M2001" s="812"/>
      <c r="N2001" s="812"/>
      <c r="O2001" s="812"/>
      <c r="P2001" s="812"/>
      <c r="Q2001" s="812"/>
      <c r="R2001" s="812"/>
      <c r="S2001" s="812"/>
      <c r="T2001" s="812"/>
      <c r="U2001" s="812"/>
      <c r="V2001" s="52"/>
    </row>
    <row r="2002" spans="1:22" s="141" customFormat="1" ht="15" hidden="1">
      <c r="A2002" s="836"/>
      <c r="B2002" s="811"/>
      <c r="C2002" s="812"/>
      <c r="D2002" s="812"/>
      <c r="E2002" s="812"/>
      <c r="F2002" s="812"/>
      <c r="G2002" s="812"/>
      <c r="H2002" s="812"/>
      <c r="I2002" s="812"/>
      <c r="J2002" s="812"/>
      <c r="K2002" s="812"/>
      <c r="L2002" s="812"/>
      <c r="M2002" s="812"/>
      <c r="N2002" s="812"/>
      <c r="O2002" s="812"/>
      <c r="P2002" s="812"/>
      <c r="Q2002" s="812"/>
      <c r="R2002" s="812"/>
      <c r="S2002" s="812"/>
      <c r="T2002" s="812"/>
      <c r="U2002" s="812"/>
      <c r="V2002" s="52"/>
    </row>
    <row r="2003" spans="1:22" s="141" customFormat="1" ht="15" hidden="1">
      <c r="A2003" s="836"/>
      <c r="B2003" s="811"/>
      <c r="C2003" s="812"/>
      <c r="D2003" s="812"/>
      <c r="E2003" s="812"/>
      <c r="F2003" s="812"/>
      <c r="G2003" s="812"/>
      <c r="H2003" s="812"/>
      <c r="I2003" s="812"/>
      <c r="J2003" s="812"/>
      <c r="K2003" s="812"/>
      <c r="L2003" s="812"/>
      <c r="M2003" s="812"/>
      <c r="N2003" s="812"/>
      <c r="O2003" s="812"/>
      <c r="P2003" s="812"/>
      <c r="Q2003" s="812"/>
      <c r="R2003" s="812"/>
      <c r="S2003" s="812"/>
      <c r="T2003" s="812"/>
      <c r="U2003" s="812"/>
      <c r="V2003" s="52"/>
    </row>
    <row r="2004" spans="1:22" s="141" customFormat="1" ht="15.75" customHeight="1">
      <c r="A2004" s="650"/>
      <c r="B2004" s="1106" t="s">
        <v>1421</v>
      </c>
      <c r="C2004" s="1106"/>
      <c r="D2004" s="1106"/>
      <c r="E2004" s="1106"/>
      <c r="F2004" s="1106"/>
      <c r="G2004" s="1106"/>
      <c r="H2004" s="1106"/>
      <c r="I2004" s="1106"/>
      <c r="J2004" s="1106"/>
      <c r="K2004" s="1106"/>
      <c r="L2004" s="1106"/>
      <c r="M2004" s="1106"/>
      <c r="N2004" s="1106"/>
      <c r="O2004" s="1106"/>
      <c r="P2004" s="1106"/>
      <c r="Q2004" s="1106"/>
      <c r="R2004" s="1106"/>
      <c r="S2004" s="1106"/>
      <c r="T2004" s="1106"/>
      <c r="U2004" s="1106"/>
      <c r="V2004" s="52"/>
    </row>
    <row r="2005" spans="1:22" s="141" customFormat="1" ht="15.75" customHeight="1">
      <c r="A2005" s="650"/>
      <c r="B2005" s="1106" t="s">
        <v>1635</v>
      </c>
      <c r="C2005" s="1106"/>
      <c r="D2005" s="1106"/>
      <c r="E2005" s="1106"/>
      <c r="F2005" s="1106"/>
      <c r="G2005" s="1106"/>
      <c r="H2005" s="1106"/>
      <c r="I2005" s="1106"/>
      <c r="J2005" s="1106"/>
      <c r="K2005" s="1106"/>
      <c r="L2005" s="1106"/>
      <c r="M2005" s="1106"/>
      <c r="N2005" s="1106"/>
      <c r="O2005" s="1106"/>
      <c r="P2005" s="1106"/>
      <c r="Q2005" s="1106"/>
      <c r="R2005" s="1106"/>
      <c r="S2005" s="1106"/>
      <c r="T2005" s="1106"/>
      <c r="U2005" s="1106"/>
      <c r="V2005" s="52"/>
    </row>
    <row r="2006" spans="1:22" s="141" customFormat="1" ht="7.5" customHeight="1">
      <c r="A2006" s="650"/>
      <c r="B2006" s="52"/>
      <c r="C2006" s="52"/>
      <c r="D2006" s="52"/>
      <c r="E2006" s="52"/>
      <c r="F2006" s="52"/>
      <c r="G2006" s="52"/>
      <c r="H2006" s="52"/>
      <c r="I2006" s="52"/>
      <c r="J2006" s="52"/>
      <c r="K2006" s="52"/>
      <c r="L2006" s="52"/>
      <c r="M2006" s="52"/>
      <c r="N2006" s="52"/>
      <c r="O2006" s="52"/>
      <c r="P2006" s="52"/>
      <c r="Q2006" s="52"/>
      <c r="R2006" s="52"/>
      <c r="S2006" s="52"/>
      <c r="T2006" s="668"/>
      <c r="U2006" s="668"/>
      <c r="V2006" s="52"/>
    </row>
    <row r="2007" spans="1:22" s="141" customFormat="1" ht="15.75" customHeight="1" hidden="1">
      <c r="A2007" s="650"/>
      <c r="B2007" s="52"/>
      <c r="C2007" s="52"/>
      <c r="D2007" s="52"/>
      <c r="E2007" s="52"/>
      <c r="F2007" s="52"/>
      <c r="G2007" s="52"/>
      <c r="H2007" s="52"/>
      <c r="I2007" s="52"/>
      <c r="J2007" s="52"/>
      <c r="K2007" s="52"/>
      <c r="L2007" s="52"/>
      <c r="M2007" s="52"/>
      <c r="N2007" s="52"/>
      <c r="O2007" s="52"/>
      <c r="P2007" s="52"/>
      <c r="Q2007" s="52"/>
      <c r="R2007" s="52"/>
      <c r="S2007" s="52"/>
      <c r="T2007" s="668"/>
      <c r="U2007" s="668"/>
      <c r="V2007" s="52"/>
    </row>
    <row r="2008" spans="1:22" s="141" customFormat="1" ht="0.75" customHeight="1">
      <c r="A2008" s="650"/>
      <c r="B2008" s="52"/>
      <c r="C2008" s="52"/>
      <c r="D2008" s="52"/>
      <c r="E2008" s="52"/>
      <c r="F2008" s="52"/>
      <c r="G2008" s="52"/>
      <c r="H2008" s="52"/>
      <c r="I2008" s="52"/>
      <c r="J2008" s="52"/>
      <c r="K2008" s="52"/>
      <c r="L2008" s="52"/>
      <c r="M2008" s="52"/>
      <c r="N2008" s="52"/>
      <c r="O2008" s="52"/>
      <c r="P2008" s="52"/>
      <c r="Q2008" s="52"/>
      <c r="R2008" s="52"/>
      <c r="S2008" s="52"/>
      <c r="T2008" s="668"/>
      <c r="U2008" s="668"/>
      <c r="V2008" s="52"/>
    </row>
    <row r="2009" spans="1:22" s="141" customFormat="1" ht="15.75" customHeight="1" hidden="1">
      <c r="A2009" s="650"/>
      <c r="B2009" s="52"/>
      <c r="C2009" s="52"/>
      <c r="D2009" s="52"/>
      <c r="E2009" s="52"/>
      <c r="F2009" s="52"/>
      <c r="G2009" s="52"/>
      <c r="H2009" s="52"/>
      <c r="I2009" s="52"/>
      <c r="J2009" s="52"/>
      <c r="K2009" s="52"/>
      <c r="L2009" s="52"/>
      <c r="M2009" s="52"/>
      <c r="N2009" s="52"/>
      <c r="O2009" s="52"/>
      <c r="P2009" s="52"/>
      <c r="Q2009" s="52"/>
      <c r="R2009" s="52"/>
      <c r="S2009" s="52"/>
      <c r="T2009" s="668"/>
      <c r="U2009" s="668"/>
      <c r="V2009" s="52"/>
    </row>
    <row r="2010" spans="1:22" s="141" customFormat="1" ht="15.75" customHeight="1" hidden="1">
      <c r="A2010" s="650"/>
      <c r="B2010" s="52"/>
      <c r="C2010" s="52"/>
      <c r="D2010" s="52"/>
      <c r="E2010" s="52"/>
      <c r="F2010" s="52"/>
      <c r="G2010" s="52"/>
      <c r="H2010" s="52"/>
      <c r="I2010" s="52"/>
      <c r="J2010" s="52"/>
      <c r="K2010" s="52"/>
      <c r="L2010" s="52"/>
      <c r="M2010" s="52"/>
      <c r="N2010" s="52"/>
      <c r="O2010" s="52"/>
      <c r="P2010" s="52"/>
      <c r="Q2010" s="52"/>
      <c r="R2010" s="52"/>
      <c r="S2010" s="52"/>
      <c r="T2010" s="668"/>
      <c r="U2010" s="668"/>
      <c r="V2010" s="52"/>
    </row>
    <row r="2011" spans="1:22" s="141" customFormat="1" ht="15.75" customHeight="1" hidden="1">
      <c r="A2011" s="650"/>
      <c r="B2011" s="52"/>
      <c r="C2011" s="52"/>
      <c r="D2011" s="52"/>
      <c r="E2011" s="52"/>
      <c r="F2011" s="52"/>
      <c r="G2011" s="52"/>
      <c r="H2011" s="52"/>
      <c r="I2011" s="52"/>
      <c r="J2011" s="52"/>
      <c r="K2011" s="52"/>
      <c r="L2011" s="52"/>
      <c r="M2011" s="52"/>
      <c r="N2011" s="52"/>
      <c r="O2011" s="52"/>
      <c r="P2011" s="52"/>
      <c r="Q2011" s="52"/>
      <c r="R2011" s="52"/>
      <c r="S2011" s="52"/>
      <c r="T2011" s="668"/>
      <c r="U2011" s="668"/>
      <c r="V2011" s="52"/>
    </row>
    <row r="2012" spans="1:22" s="141" customFormat="1" ht="15.75" customHeight="1" hidden="1">
      <c r="A2012" s="650"/>
      <c r="B2012" s="52"/>
      <c r="C2012" s="52"/>
      <c r="D2012" s="52"/>
      <c r="E2012" s="52"/>
      <c r="F2012" s="52"/>
      <c r="G2012" s="52"/>
      <c r="H2012" s="52"/>
      <c r="I2012" s="52"/>
      <c r="J2012" s="52"/>
      <c r="K2012" s="52"/>
      <c r="L2012" s="52"/>
      <c r="M2012" s="52"/>
      <c r="N2012" s="52"/>
      <c r="O2012" s="52"/>
      <c r="P2012" s="52"/>
      <c r="Q2012" s="52"/>
      <c r="R2012" s="52"/>
      <c r="S2012" s="52"/>
      <c r="T2012" s="668"/>
      <c r="U2012" s="668"/>
      <c r="V2012" s="52"/>
    </row>
    <row r="2013" spans="1:22" s="141" customFormat="1" ht="15.75" customHeight="1" hidden="1">
      <c r="A2013" s="650"/>
      <c r="B2013" s="52"/>
      <c r="C2013" s="52"/>
      <c r="D2013" s="52"/>
      <c r="E2013" s="52"/>
      <c r="F2013" s="52"/>
      <c r="G2013" s="52"/>
      <c r="H2013" s="52"/>
      <c r="I2013" s="52"/>
      <c r="J2013" s="52"/>
      <c r="K2013" s="52"/>
      <c r="L2013" s="52"/>
      <c r="M2013" s="52"/>
      <c r="N2013" s="52"/>
      <c r="O2013" s="52"/>
      <c r="P2013" s="52"/>
      <c r="Q2013" s="52"/>
      <c r="R2013" s="52"/>
      <c r="S2013" s="52"/>
      <c r="T2013" s="668"/>
      <c r="U2013" s="668"/>
      <c r="V2013" s="52"/>
    </row>
    <row r="2014" spans="1:22" s="141" customFormat="1" ht="15.75" customHeight="1" hidden="1">
      <c r="A2014" s="650"/>
      <c r="B2014" s="52"/>
      <c r="C2014" s="52"/>
      <c r="D2014" s="52"/>
      <c r="E2014" s="52"/>
      <c r="F2014" s="52"/>
      <c r="G2014" s="52"/>
      <c r="H2014" s="52"/>
      <c r="I2014" s="52"/>
      <c r="J2014" s="52"/>
      <c r="K2014" s="52"/>
      <c r="L2014" s="52"/>
      <c r="M2014" s="52"/>
      <c r="N2014" s="52"/>
      <c r="O2014" s="52"/>
      <c r="P2014" s="52"/>
      <c r="Q2014" s="52"/>
      <c r="R2014" s="52"/>
      <c r="S2014" s="52"/>
      <c r="T2014" s="668"/>
      <c r="U2014" s="668"/>
      <c r="V2014" s="52"/>
    </row>
    <row r="2015" spans="1:22" s="141" customFormat="1" ht="15.75" customHeight="1" hidden="1">
      <c r="A2015" s="650"/>
      <c r="B2015" s="52"/>
      <c r="C2015" s="52"/>
      <c r="D2015" s="52"/>
      <c r="E2015" s="52"/>
      <c r="F2015" s="52"/>
      <c r="G2015" s="52"/>
      <c r="H2015" s="52"/>
      <c r="I2015" s="52"/>
      <c r="J2015" s="52"/>
      <c r="K2015" s="52"/>
      <c r="L2015" s="52"/>
      <c r="M2015" s="52"/>
      <c r="N2015" s="52"/>
      <c r="O2015" s="52"/>
      <c r="P2015" s="52"/>
      <c r="Q2015" s="52"/>
      <c r="R2015" s="52"/>
      <c r="S2015" s="52"/>
      <c r="T2015" s="668"/>
      <c r="U2015" s="668"/>
      <c r="V2015" s="52"/>
    </row>
    <row r="2016" spans="1:22" s="141" customFormat="1" ht="15.75" customHeight="1" hidden="1">
      <c r="A2016" s="650"/>
      <c r="B2016" s="52"/>
      <c r="C2016" s="52"/>
      <c r="D2016" s="52"/>
      <c r="E2016" s="52"/>
      <c r="F2016" s="52"/>
      <c r="G2016" s="52"/>
      <c r="H2016" s="52"/>
      <c r="I2016" s="52"/>
      <c r="J2016" s="52"/>
      <c r="K2016" s="52"/>
      <c r="L2016" s="52"/>
      <c r="M2016" s="52"/>
      <c r="N2016" s="52"/>
      <c r="O2016" s="52"/>
      <c r="P2016" s="52"/>
      <c r="Q2016" s="52"/>
      <c r="R2016" s="52"/>
      <c r="S2016" s="52"/>
      <c r="T2016" s="668"/>
      <c r="U2016" s="668"/>
      <c r="V2016" s="52"/>
    </row>
    <row r="2017" spans="1:22" s="141" customFormat="1" ht="15.75" customHeight="1" hidden="1">
      <c r="A2017" s="650"/>
      <c r="B2017" s="52"/>
      <c r="C2017" s="52"/>
      <c r="D2017" s="52"/>
      <c r="E2017" s="52"/>
      <c r="F2017" s="52"/>
      <c r="G2017" s="52"/>
      <c r="H2017" s="52"/>
      <c r="I2017" s="52"/>
      <c r="J2017" s="52"/>
      <c r="K2017" s="52"/>
      <c r="L2017" s="52"/>
      <c r="M2017" s="52"/>
      <c r="N2017" s="52"/>
      <c r="O2017" s="52"/>
      <c r="P2017" s="52"/>
      <c r="Q2017" s="52"/>
      <c r="R2017" s="52"/>
      <c r="S2017" s="52"/>
      <c r="T2017" s="668"/>
      <c r="U2017" s="668"/>
      <c r="V2017" s="52"/>
    </row>
    <row r="2018" spans="1:22" s="141" customFormat="1" ht="15.75" customHeight="1" hidden="1">
      <c r="A2018" s="650"/>
      <c r="B2018" s="52"/>
      <c r="C2018" s="52"/>
      <c r="D2018" s="52"/>
      <c r="E2018" s="52"/>
      <c r="F2018" s="52"/>
      <c r="G2018" s="52"/>
      <c r="H2018" s="52"/>
      <c r="I2018" s="52"/>
      <c r="J2018" s="52"/>
      <c r="K2018" s="52"/>
      <c r="L2018" s="52"/>
      <c r="M2018" s="52"/>
      <c r="N2018" s="52"/>
      <c r="O2018" s="52"/>
      <c r="P2018" s="52"/>
      <c r="Q2018" s="52"/>
      <c r="R2018" s="52"/>
      <c r="S2018" s="52"/>
      <c r="T2018" s="668"/>
      <c r="U2018" s="668"/>
      <c r="V2018" s="52"/>
    </row>
    <row r="2019" spans="1:22" s="141" customFormat="1" ht="15.75" customHeight="1" hidden="1">
      <c r="A2019" s="650"/>
      <c r="B2019" s="52"/>
      <c r="C2019" s="52"/>
      <c r="D2019" s="52"/>
      <c r="E2019" s="52"/>
      <c r="F2019" s="52"/>
      <c r="G2019" s="52"/>
      <c r="H2019" s="52"/>
      <c r="I2019" s="52"/>
      <c r="J2019" s="52"/>
      <c r="K2019" s="52"/>
      <c r="L2019" s="52"/>
      <c r="M2019" s="52"/>
      <c r="N2019" s="52"/>
      <c r="O2019" s="52"/>
      <c r="P2019" s="52"/>
      <c r="Q2019" s="52"/>
      <c r="R2019" s="52"/>
      <c r="S2019" s="52"/>
      <c r="T2019" s="668"/>
      <c r="U2019" s="668"/>
      <c r="V2019" s="52"/>
    </row>
    <row r="2020" spans="1:22" s="141" customFormat="1" ht="15.75" customHeight="1" hidden="1">
      <c r="A2020" s="650"/>
      <c r="B2020" s="52"/>
      <c r="C2020" s="52"/>
      <c r="D2020" s="52"/>
      <c r="E2020" s="52"/>
      <c r="F2020" s="52"/>
      <c r="G2020" s="52"/>
      <c r="H2020" s="52"/>
      <c r="I2020" s="52"/>
      <c r="J2020" s="52"/>
      <c r="K2020" s="52"/>
      <c r="L2020" s="52"/>
      <c r="M2020" s="52"/>
      <c r="N2020" s="52"/>
      <c r="O2020" s="52"/>
      <c r="P2020" s="52"/>
      <c r="Q2020" s="52"/>
      <c r="R2020" s="52"/>
      <c r="S2020" s="52"/>
      <c r="T2020" s="668"/>
      <c r="U2020" s="668"/>
      <c r="V2020" s="52"/>
    </row>
    <row r="2021" spans="1:22" s="141" customFormat="1" ht="15.75" customHeight="1" hidden="1">
      <c r="A2021" s="650"/>
      <c r="B2021" s="52"/>
      <c r="C2021" s="52"/>
      <c r="D2021" s="52"/>
      <c r="E2021" s="52"/>
      <c r="F2021" s="52"/>
      <c r="G2021" s="52"/>
      <c r="H2021" s="52"/>
      <c r="I2021" s="52"/>
      <c r="J2021" s="52"/>
      <c r="K2021" s="52"/>
      <c r="L2021" s="52"/>
      <c r="M2021" s="52"/>
      <c r="N2021" s="52"/>
      <c r="O2021" s="52"/>
      <c r="P2021" s="52"/>
      <c r="Q2021" s="52"/>
      <c r="R2021" s="52"/>
      <c r="S2021" s="52"/>
      <c r="T2021" s="668"/>
      <c r="U2021" s="668"/>
      <c r="V2021" s="52"/>
    </row>
    <row r="2022" spans="1:22" s="141" customFormat="1" ht="11.25" customHeight="1" hidden="1">
      <c r="A2022" s="650"/>
      <c r="B2022" s="52"/>
      <c r="C2022" s="52"/>
      <c r="D2022" s="52"/>
      <c r="E2022" s="52"/>
      <c r="F2022" s="52"/>
      <c r="G2022" s="52"/>
      <c r="H2022" s="52"/>
      <c r="I2022" s="52"/>
      <c r="J2022" s="52"/>
      <c r="K2022" s="52"/>
      <c r="L2022" s="52"/>
      <c r="M2022" s="52"/>
      <c r="N2022" s="52"/>
      <c r="O2022" s="52"/>
      <c r="P2022" s="52"/>
      <c r="Q2022" s="52"/>
      <c r="R2022" s="52"/>
      <c r="S2022" s="52"/>
      <c r="T2022" s="668"/>
      <c r="U2022" s="668"/>
      <c r="V2022" s="52"/>
    </row>
    <row r="2023" spans="1:22" s="141" customFormat="1" ht="15.75" customHeight="1" hidden="1">
      <c r="A2023" s="650"/>
      <c r="B2023" s="52"/>
      <c r="C2023" s="52"/>
      <c r="D2023" s="52"/>
      <c r="E2023" s="52"/>
      <c r="F2023" s="52"/>
      <c r="G2023" s="52"/>
      <c r="H2023" s="52"/>
      <c r="I2023" s="52"/>
      <c r="J2023" s="52"/>
      <c r="K2023" s="52"/>
      <c r="L2023" s="52"/>
      <c r="M2023" s="52"/>
      <c r="N2023" s="52"/>
      <c r="O2023" s="52"/>
      <c r="P2023" s="52"/>
      <c r="Q2023" s="52"/>
      <c r="R2023" s="52"/>
      <c r="S2023" s="52"/>
      <c r="T2023" s="668"/>
      <c r="U2023" s="668"/>
      <c r="V2023" s="52"/>
    </row>
    <row r="2024" spans="1:22" s="141" customFormat="1" ht="15.75" customHeight="1" hidden="1">
      <c r="A2024" s="650"/>
      <c r="B2024" s="52"/>
      <c r="C2024" s="52"/>
      <c r="D2024" s="52"/>
      <c r="E2024" s="52"/>
      <c r="F2024" s="52"/>
      <c r="G2024" s="52"/>
      <c r="H2024" s="52"/>
      <c r="I2024" s="52"/>
      <c r="J2024" s="52"/>
      <c r="K2024" s="52"/>
      <c r="L2024" s="52"/>
      <c r="M2024" s="52"/>
      <c r="N2024" s="52"/>
      <c r="O2024" s="52"/>
      <c r="P2024" s="52"/>
      <c r="Q2024" s="52"/>
      <c r="R2024" s="52"/>
      <c r="S2024" s="52"/>
      <c r="T2024" s="668"/>
      <c r="U2024" s="668"/>
      <c r="V2024" s="52"/>
    </row>
    <row r="2025" spans="1:22" s="141" customFormat="1" ht="15.75" customHeight="1" hidden="1">
      <c r="A2025" s="650"/>
      <c r="B2025" s="52"/>
      <c r="C2025" s="52"/>
      <c r="D2025" s="52"/>
      <c r="E2025" s="52"/>
      <c r="F2025" s="52"/>
      <c r="G2025" s="52"/>
      <c r="H2025" s="52"/>
      <c r="I2025" s="52"/>
      <c r="J2025" s="52"/>
      <c r="K2025" s="52"/>
      <c r="L2025" s="52"/>
      <c r="M2025" s="52"/>
      <c r="N2025" s="52"/>
      <c r="O2025" s="52"/>
      <c r="P2025" s="52"/>
      <c r="Q2025" s="52"/>
      <c r="R2025" s="52"/>
      <c r="S2025" s="52"/>
      <c r="T2025" s="668"/>
      <c r="U2025" s="668"/>
      <c r="V2025" s="52"/>
    </row>
    <row r="2026" spans="1:22" s="141" customFormat="1" ht="15.75" customHeight="1" hidden="1">
      <c r="A2026" s="650"/>
      <c r="B2026" s="52"/>
      <c r="C2026" s="52"/>
      <c r="D2026" s="52"/>
      <c r="E2026" s="52"/>
      <c r="F2026" s="52"/>
      <c r="G2026" s="52"/>
      <c r="H2026" s="52"/>
      <c r="I2026" s="52"/>
      <c r="J2026" s="52"/>
      <c r="K2026" s="52"/>
      <c r="L2026" s="52"/>
      <c r="M2026" s="52"/>
      <c r="N2026" s="52"/>
      <c r="O2026" s="52"/>
      <c r="P2026" s="52"/>
      <c r="Q2026" s="52"/>
      <c r="R2026" s="52"/>
      <c r="S2026" s="52"/>
      <c r="T2026" s="668"/>
      <c r="U2026" s="668"/>
      <c r="V2026" s="52"/>
    </row>
    <row r="2027" spans="1:22" s="141" customFormat="1" ht="15.75" customHeight="1" hidden="1">
      <c r="A2027" s="650"/>
      <c r="B2027" s="52"/>
      <c r="C2027" s="52"/>
      <c r="D2027" s="52"/>
      <c r="E2027" s="52"/>
      <c r="F2027" s="52"/>
      <c r="G2027" s="52"/>
      <c r="H2027" s="52"/>
      <c r="I2027" s="52"/>
      <c r="J2027" s="52"/>
      <c r="K2027" s="52"/>
      <c r="L2027" s="52"/>
      <c r="M2027" s="52"/>
      <c r="N2027" s="52"/>
      <c r="O2027" s="52"/>
      <c r="P2027" s="52"/>
      <c r="Q2027" s="52"/>
      <c r="R2027" s="52"/>
      <c r="S2027" s="52"/>
      <c r="T2027" s="668"/>
      <c r="U2027" s="668"/>
      <c r="V2027" s="52"/>
    </row>
    <row r="2028" spans="1:22" s="141" customFormat="1" ht="15.75" customHeight="1" hidden="1">
      <c r="A2028" s="650"/>
      <c r="B2028" s="52"/>
      <c r="C2028" s="52"/>
      <c r="D2028" s="52"/>
      <c r="E2028" s="52"/>
      <c r="F2028" s="52"/>
      <c r="G2028" s="52"/>
      <c r="H2028" s="52"/>
      <c r="I2028" s="52"/>
      <c r="J2028" s="52"/>
      <c r="K2028" s="52"/>
      <c r="L2028" s="52"/>
      <c r="M2028" s="52"/>
      <c r="N2028" s="52"/>
      <c r="O2028" s="52"/>
      <c r="P2028" s="52"/>
      <c r="Q2028" s="52"/>
      <c r="R2028" s="52"/>
      <c r="S2028" s="52"/>
      <c r="T2028" s="668"/>
      <c r="U2028" s="668"/>
      <c r="V2028" s="52"/>
    </row>
    <row r="2029" spans="1:22" s="141" customFormat="1" ht="15.75" customHeight="1" hidden="1">
      <c r="A2029" s="650"/>
      <c r="B2029" s="52"/>
      <c r="C2029" s="52"/>
      <c r="D2029" s="52"/>
      <c r="E2029" s="52"/>
      <c r="F2029" s="52"/>
      <c r="G2029" s="52"/>
      <c r="H2029" s="52"/>
      <c r="I2029" s="52"/>
      <c r="J2029" s="52"/>
      <c r="K2029" s="52"/>
      <c r="L2029" s="52"/>
      <c r="M2029" s="52"/>
      <c r="N2029" s="52"/>
      <c r="O2029" s="52"/>
      <c r="P2029" s="52"/>
      <c r="Q2029" s="52"/>
      <c r="R2029" s="52"/>
      <c r="S2029" s="52"/>
      <c r="T2029" s="668"/>
      <c r="U2029" s="668"/>
      <c r="V2029" s="52"/>
    </row>
    <row r="2030" spans="1:22" s="141" customFormat="1" ht="15.75" customHeight="1" hidden="1">
      <c r="A2030" s="650"/>
      <c r="B2030" s="52"/>
      <c r="C2030" s="52"/>
      <c r="D2030" s="52"/>
      <c r="E2030" s="52"/>
      <c r="F2030" s="52"/>
      <c r="G2030" s="52"/>
      <c r="H2030" s="52"/>
      <c r="I2030" s="52"/>
      <c r="J2030" s="52"/>
      <c r="K2030" s="52"/>
      <c r="L2030" s="52"/>
      <c r="M2030" s="52"/>
      <c r="N2030" s="52"/>
      <c r="O2030" s="52"/>
      <c r="P2030" s="52"/>
      <c r="Q2030" s="52"/>
      <c r="R2030" s="52"/>
      <c r="S2030" s="52"/>
      <c r="T2030" s="668"/>
      <c r="U2030" s="668"/>
      <c r="V2030" s="52"/>
    </row>
    <row r="2031" spans="1:22" s="141" customFormat="1" ht="15.75" customHeight="1" hidden="1">
      <c r="A2031" s="650"/>
      <c r="B2031" s="52"/>
      <c r="C2031" s="52"/>
      <c r="D2031" s="52"/>
      <c r="E2031" s="52"/>
      <c r="F2031" s="52"/>
      <c r="G2031" s="52"/>
      <c r="H2031" s="52"/>
      <c r="I2031" s="52"/>
      <c r="J2031" s="52"/>
      <c r="K2031" s="52"/>
      <c r="L2031" s="52"/>
      <c r="M2031" s="52"/>
      <c r="N2031" s="52"/>
      <c r="O2031" s="52"/>
      <c r="P2031" s="52"/>
      <c r="Q2031" s="52"/>
      <c r="R2031" s="52"/>
      <c r="S2031" s="52"/>
      <c r="T2031" s="668"/>
      <c r="U2031" s="668"/>
      <c r="V2031" s="52"/>
    </row>
    <row r="2032" spans="1:22" s="141" customFormat="1" ht="8.25" customHeight="1" hidden="1">
      <c r="A2032" s="650"/>
      <c r="B2032" s="52"/>
      <c r="C2032" s="52"/>
      <c r="D2032" s="52"/>
      <c r="E2032" s="52"/>
      <c r="F2032" s="52"/>
      <c r="G2032" s="52"/>
      <c r="H2032" s="52"/>
      <c r="I2032" s="52"/>
      <c r="J2032" s="52"/>
      <c r="K2032" s="52"/>
      <c r="L2032" s="52"/>
      <c r="M2032" s="52"/>
      <c r="N2032" s="52"/>
      <c r="O2032" s="52"/>
      <c r="P2032" s="52"/>
      <c r="Q2032" s="52"/>
      <c r="R2032" s="52"/>
      <c r="S2032" s="52"/>
      <c r="T2032" s="668"/>
      <c r="U2032" s="668"/>
      <c r="V2032" s="52"/>
    </row>
    <row r="2033" spans="1:22" s="141" customFormat="1" ht="15.75" customHeight="1" hidden="1">
      <c r="A2033" s="650"/>
      <c r="B2033" s="52"/>
      <c r="C2033" s="52"/>
      <c r="D2033" s="52"/>
      <c r="E2033" s="52"/>
      <c r="F2033" s="52"/>
      <c r="G2033" s="52"/>
      <c r="H2033" s="52"/>
      <c r="I2033" s="52"/>
      <c r="J2033" s="52"/>
      <c r="K2033" s="52"/>
      <c r="L2033" s="52"/>
      <c r="M2033" s="52"/>
      <c r="N2033" s="52"/>
      <c r="O2033" s="52"/>
      <c r="P2033" s="52"/>
      <c r="Q2033" s="52"/>
      <c r="R2033" s="52"/>
      <c r="S2033" s="52"/>
      <c r="T2033" s="668"/>
      <c r="U2033" s="668"/>
      <c r="V2033" s="52"/>
    </row>
    <row r="2034" spans="1:22" s="141" customFormat="1" ht="15.75" customHeight="1" hidden="1">
      <c r="A2034" s="650"/>
      <c r="B2034" s="52"/>
      <c r="C2034" s="52"/>
      <c r="D2034" s="52"/>
      <c r="E2034" s="52"/>
      <c r="F2034" s="52"/>
      <c r="G2034" s="52"/>
      <c r="H2034" s="52"/>
      <c r="I2034" s="52"/>
      <c r="J2034" s="52"/>
      <c r="K2034" s="52"/>
      <c r="L2034" s="52"/>
      <c r="M2034" s="52"/>
      <c r="N2034" s="52"/>
      <c r="O2034" s="52"/>
      <c r="P2034" s="52"/>
      <c r="Q2034" s="52"/>
      <c r="R2034" s="52"/>
      <c r="S2034" s="52"/>
      <c r="T2034" s="668"/>
      <c r="U2034" s="668"/>
      <c r="V2034" s="52"/>
    </row>
    <row r="2035" spans="1:22" s="141" customFormat="1" ht="15.75" customHeight="1" hidden="1">
      <c r="A2035" s="650"/>
      <c r="B2035" s="52"/>
      <c r="C2035" s="52"/>
      <c r="D2035" s="52"/>
      <c r="E2035" s="52"/>
      <c r="F2035" s="52"/>
      <c r="G2035" s="52"/>
      <c r="H2035" s="52"/>
      <c r="I2035" s="52"/>
      <c r="J2035" s="52"/>
      <c r="K2035" s="52"/>
      <c r="L2035" s="52"/>
      <c r="M2035" s="52"/>
      <c r="N2035" s="52"/>
      <c r="O2035" s="52"/>
      <c r="P2035" s="52"/>
      <c r="Q2035" s="52"/>
      <c r="R2035" s="52"/>
      <c r="S2035" s="52"/>
      <c r="T2035" s="668"/>
      <c r="U2035" s="668"/>
      <c r="V2035" s="52"/>
    </row>
    <row r="2036" spans="1:22" s="141" customFormat="1" ht="15.75" customHeight="1" hidden="1">
      <c r="A2036" s="650"/>
      <c r="B2036" s="52"/>
      <c r="C2036" s="52"/>
      <c r="D2036" s="52"/>
      <c r="E2036" s="52"/>
      <c r="F2036" s="52"/>
      <c r="G2036" s="52"/>
      <c r="H2036" s="52"/>
      <c r="I2036" s="52"/>
      <c r="J2036" s="52"/>
      <c r="K2036" s="52"/>
      <c r="L2036" s="52"/>
      <c r="M2036" s="52"/>
      <c r="N2036" s="52"/>
      <c r="O2036" s="52"/>
      <c r="P2036" s="52"/>
      <c r="Q2036" s="52"/>
      <c r="R2036" s="52"/>
      <c r="S2036" s="52"/>
      <c r="T2036" s="668"/>
      <c r="U2036" s="668"/>
      <c r="V2036" s="52"/>
    </row>
    <row r="2037" spans="1:22" s="141" customFormat="1" ht="15.75" customHeight="1" hidden="1">
      <c r="A2037" s="650"/>
      <c r="B2037" s="52"/>
      <c r="C2037" s="52"/>
      <c r="D2037" s="52"/>
      <c r="E2037" s="52"/>
      <c r="F2037" s="52"/>
      <c r="G2037" s="52"/>
      <c r="H2037" s="52"/>
      <c r="I2037" s="52"/>
      <c r="J2037" s="52"/>
      <c r="K2037" s="52"/>
      <c r="L2037" s="52"/>
      <c r="M2037" s="52"/>
      <c r="N2037" s="52"/>
      <c r="O2037" s="52"/>
      <c r="P2037" s="52"/>
      <c r="Q2037" s="52"/>
      <c r="R2037" s="52"/>
      <c r="S2037" s="52"/>
      <c r="T2037" s="668"/>
      <c r="U2037" s="668"/>
      <c r="V2037" s="52"/>
    </row>
    <row r="2038" spans="1:22" s="141" customFormat="1" ht="15.75" customHeight="1" hidden="1">
      <c r="A2038" s="650"/>
      <c r="B2038" s="52"/>
      <c r="C2038" s="52"/>
      <c r="D2038" s="52"/>
      <c r="E2038" s="52"/>
      <c r="F2038" s="52"/>
      <c r="G2038" s="52"/>
      <c r="H2038" s="52"/>
      <c r="I2038" s="52"/>
      <c r="J2038" s="52"/>
      <c r="K2038" s="52"/>
      <c r="L2038" s="52"/>
      <c r="M2038" s="52"/>
      <c r="N2038" s="52"/>
      <c r="O2038" s="52"/>
      <c r="P2038" s="52"/>
      <c r="Q2038" s="52"/>
      <c r="R2038" s="52"/>
      <c r="S2038" s="52"/>
      <c r="T2038" s="668"/>
      <c r="U2038" s="668"/>
      <c r="V2038" s="52"/>
    </row>
    <row r="2039" spans="1:22" s="141" customFormat="1" ht="12.75" customHeight="1" hidden="1">
      <c r="A2039" s="650"/>
      <c r="B2039" s="52"/>
      <c r="C2039" s="52"/>
      <c r="D2039" s="52"/>
      <c r="E2039" s="52"/>
      <c r="F2039" s="52"/>
      <c r="G2039" s="52"/>
      <c r="H2039" s="52"/>
      <c r="I2039" s="52"/>
      <c r="J2039" s="52"/>
      <c r="K2039" s="52"/>
      <c r="L2039" s="52"/>
      <c r="M2039" s="52"/>
      <c r="N2039" s="52"/>
      <c r="O2039" s="52"/>
      <c r="P2039" s="52"/>
      <c r="Q2039" s="52"/>
      <c r="R2039" s="52"/>
      <c r="S2039" s="52"/>
      <c r="T2039" s="668"/>
      <c r="U2039" s="668"/>
      <c r="V2039" s="52"/>
    </row>
    <row r="2040" spans="1:22" s="141" customFormat="1" ht="15.75" customHeight="1" hidden="1">
      <c r="A2040" s="650"/>
      <c r="B2040" s="52"/>
      <c r="C2040" s="52"/>
      <c r="D2040" s="52"/>
      <c r="E2040" s="52"/>
      <c r="F2040" s="52"/>
      <c r="G2040" s="52"/>
      <c r="H2040" s="52"/>
      <c r="I2040" s="52"/>
      <c r="J2040" s="52"/>
      <c r="K2040" s="52"/>
      <c r="L2040" s="52"/>
      <c r="M2040" s="52"/>
      <c r="N2040" s="52"/>
      <c r="O2040" s="52"/>
      <c r="P2040" s="52"/>
      <c r="Q2040" s="52"/>
      <c r="R2040" s="52"/>
      <c r="S2040" s="52"/>
      <c r="T2040" s="668"/>
      <c r="U2040" s="668"/>
      <c r="V2040" s="52"/>
    </row>
    <row r="2041" spans="1:22" s="141" customFormat="1" ht="15.75" customHeight="1" hidden="1">
      <c r="A2041" s="650"/>
      <c r="B2041" s="52"/>
      <c r="C2041" s="52"/>
      <c r="D2041" s="52"/>
      <c r="E2041" s="52"/>
      <c r="F2041" s="52"/>
      <c r="G2041" s="52"/>
      <c r="H2041" s="52"/>
      <c r="I2041" s="52"/>
      <c r="J2041" s="52"/>
      <c r="K2041" s="52"/>
      <c r="L2041" s="52"/>
      <c r="M2041" s="52"/>
      <c r="N2041" s="52"/>
      <c r="O2041" s="52"/>
      <c r="P2041" s="52"/>
      <c r="Q2041" s="52"/>
      <c r="R2041" s="52"/>
      <c r="S2041" s="52"/>
      <c r="T2041" s="668"/>
      <c r="U2041" s="668"/>
      <c r="V2041" s="52"/>
    </row>
    <row r="2042" spans="1:22" s="141" customFormat="1" ht="15.75" customHeight="1" hidden="1">
      <c r="A2042" s="650"/>
      <c r="B2042" s="52"/>
      <c r="C2042" s="52"/>
      <c r="D2042" s="52"/>
      <c r="E2042" s="52"/>
      <c r="F2042" s="52"/>
      <c r="G2042" s="52"/>
      <c r="H2042" s="52"/>
      <c r="I2042" s="52"/>
      <c r="J2042" s="52"/>
      <c r="K2042" s="52"/>
      <c r="L2042" s="52"/>
      <c r="M2042" s="52"/>
      <c r="N2042" s="52"/>
      <c r="O2042" s="52"/>
      <c r="P2042" s="52"/>
      <c r="Q2042" s="52"/>
      <c r="R2042" s="52"/>
      <c r="S2042" s="52"/>
      <c r="T2042" s="668"/>
      <c r="U2042" s="668"/>
      <c r="V2042" s="52"/>
    </row>
    <row r="2043" spans="1:22" s="141" customFormat="1" ht="15.75" customHeight="1" hidden="1">
      <c r="A2043" s="650"/>
      <c r="B2043" s="52"/>
      <c r="C2043" s="52"/>
      <c r="D2043" s="52"/>
      <c r="E2043" s="52"/>
      <c r="F2043" s="52"/>
      <c r="G2043" s="52"/>
      <c r="H2043" s="52"/>
      <c r="I2043" s="52"/>
      <c r="J2043" s="52"/>
      <c r="K2043" s="52"/>
      <c r="L2043" s="52"/>
      <c r="M2043" s="52"/>
      <c r="N2043" s="52"/>
      <c r="O2043" s="52"/>
      <c r="P2043" s="52"/>
      <c r="Q2043" s="52"/>
      <c r="R2043" s="52"/>
      <c r="S2043" s="52"/>
      <c r="T2043" s="668"/>
      <c r="U2043" s="668"/>
      <c r="V2043" s="52"/>
    </row>
    <row r="2044" spans="1:22" s="141" customFormat="1" ht="15.75" customHeight="1" hidden="1">
      <c r="A2044" s="650"/>
      <c r="B2044" s="52"/>
      <c r="C2044" s="52"/>
      <c r="D2044" s="52"/>
      <c r="E2044" s="52"/>
      <c r="F2044" s="52"/>
      <c r="G2044" s="52"/>
      <c r="H2044" s="52"/>
      <c r="I2044" s="52"/>
      <c r="J2044" s="52"/>
      <c r="K2044" s="52"/>
      <c r="L2044" s="52"/>
      <c r="M2044" s="52"/>
      <c r="N2044" s="52"/>
      <c r="O2044" s="52"/>
      <c r="P2044" s="52"/>
      <c r="Q2044" s="52"/>
      <c r="R2044" s="52"/>
      <c r="S2044" s="52"/>
      <c r="T2044" s="668"/>
      <c r="U2044" s="668"/>
      <c r="V2044" s="52"/>
    </row>
    <row r="2045" spans="1:22" s="141" customFormat="1" ht="15.75" customHeight="1" hidden="1">
      <c r="A2045" s="650"/>
      <c r="B2045" s="52"/>
      <c r="C2045" s="52"/>
      <c r="D2045" s="52"/>
      <c r="E2045" s="52"/>
      <c r="F2045" s="52"/>
      <c r="G2045" s="52"/>
      <c r="H2045" s="52"/>
      <c r="I2045" s="52"/>
      <c r="J2045" s="52"/>
      <c r="K2045" s="52"/>
      <c r="L2045" s="52"/>
      <c r="M2045" s="52"/>
      <c r="N2045" s="52"/>
      <c r="O2045" s="52"/>
      <c r="P2045" s="52"/>
      <c r="Q2045" s="52"/>
      <c r="R2045" s="52"/>
      <c r="S2045" s="52"/>
      <c r="T2045" s="668"/>
      <c r="U2045" s="668"/>
      <c r="V2045" s="52"/>
    </row>
    <row r="2046" spans="1:22" s="141" customFormat="1" ht="15.75" customHeight="1" hidden="1">
      <c r="A2046" s="650"/>
      <c r="B2046" s="52"/>
      <c r="C2046" s="52"/>
      <c r="D2046" s="52"/>
      <c r="E2046" s="52"/>
      <c r="F2046" s="52"/>
      <c r="G2046" s="52"/>
      <c r="H2046" s="52"/>
      <c r="I2046" s="52"/>
      <c r="J2046" s="52"/>
      <c r="K2046" s="52"/>
      <c r="L2046" s="52"/>
      <c r="M2046" s="52"/>
      <c r="N2046" s="52"/>
      <c r="O2046" s="52"/>
      <c r="P2046" s="52"/>
      <c r="Q2046" s="52"/>
      <c r="R2046" s="52"/>
      <c r="S2046" s="52"/>
      <c r="T2046" s="668"/>
      <c r="U2046" s="668"/>
      <c r="V2046" s="52"/>
    </row>
    <row r="2047" spans="1:22" s="141" customFormat="1" ht="15.75" customHeight="1" hidden="1">
      <c r="A2047" s="650"/>
      <c r="B2047" s="52"/>
      <c r="C2047" s="52"/>
      <c r="D2047" s="52"/>
      <c r="E2047" s="52"/>
      <c r="F2047" s="52"/>
      <c r="G2047" s="52"/>
      <c r="H2047" s="52"/>
      <c r="I2047" s="52"/>
      <c r="J2047" s="52"/>
      <c r="K2047" s="52"/>
      <c r="L2047" s="52"/>
      <c r="M2047" s="52"/>
      <c r="N2047" s="52"/>
      <c r="O2047" s="52"/>
      <c r="P2047" s="52"/>
      <c r="Q2047" s="52"/>
      <c r="R2047" s="52"/>
      <c r="S2047" s="52"/>
      <c r="T2047" s="668"/>
      <c r="U2047" s="668"/>
      <c r="V2047" s="52"/>
    </row>
    <row r="2048" spans="1:22" s="141" customFormat="1" ht="7.5" customHeight="1" hidden="1">
      <c r="A2048" s="650"/>
      <c r="B2048" s="52"/>
      <c r="C2048" s="52"/>
      <c r="D2048" s="52"/>
      <c r="E2048" s="52"/>
      <c r="F2048" s="52"/>
      <c r="G2048" s="52"/>
      <c r="H2048" s="52"/>
      <c r="I2048" s="52"/>
      <c r="J2048" s="52"/>
      <c r="K2048" s="52"/>
      <c r="L2048" s="52"/>
      <c r="M2048" s="52"/>
      <c r="N2048" s="52"/>
      <c r="O2048" s="52"/>
      <c r="P2048" s="52"/>
      <c r="Q2048" s="52"/>
      <c r="R2048" s="52"/>
      <c r="S2048" s="52"/>
      <c r="T2048" s="668"/>
      <c r="U2048" s="668"/>
      <c r="V2048" s="52"/>
    </row>
    <row r="2049" spans="1:22" s="141" customFormat="1" ht="15.75" customHeight="1" hidden="1">
      <c r="A2049" s="650"/>
      <c r="B2049" s="52"/>
      <c r="C2049" s="52"/>
      <c r="D2049" s="52"/>
      <c r="E2049" s="52"/>
      <c r="F2049" s="52"/>
      <c r="G2049" s="52"/>
      <c r="H2049" s="52"/>
      <c r="I2049" s="52"/>
      <c r="J2049" s="52"/>
      <c r="K2049" s="52"/>
      <c r="L2049" s="52"/>
      <c r="M2049" s="52"/>
      <c r="N2049" s="52"/>
      <c r="O2049" s="52"/>
      <c r="P2049" s="52"/>
      <c r="Q2049" s="52"/>
      <c r="R2049" s="52"/>
      <c r="S2049" s="52"/>
      <c r="T2049" s="668"/>
      <c r="U2049" s="668"/>
      <c r="V2049" s="52"/>
    </row>
    <row r="2050" spans="1:22" s="141" customFormat="1" ht="15.75" customHeight="1" hidden="1">
      <c r="A2050" s="650"/>
      <c r="B2050" s="52"/>
      <c r="C2050" s="52"/>
      <c r="D2050" s="52"/>
      <c r="E2050" s="52"/>
      <c r="F2050" s="52"/>
      <c r="G2050" s="52"/>
      <c r="H2050" s="52"/>
      <c r="I2050" s="52"/>
      <c r="J2050" s="52"/>
      <c r="K2050" s="52"/>
      <c r="L2050" s="52"/>
      <c r="M2050" s="52"/>
      <c r="N2050" s="52"/>
      <c r="O2050" s="52"/>
      <c r="P2050" s="52"/>
      <c r="Q2050" s="52"/>
      <c r="R2050" s="52"/>
      <c r="S2050" s="52"/>
      <c r="T2050" s="668"/>
      <c r="U2050" s="668"/>
      <c r="V2050" s="52"/>
    </row>
    <row r="2051" spans="1:22" s="141" customFormat="1" ht="15.75" customHeight="1" hidden="1">
      <c r="A2051" s="650"/>
      <c r="B2051" s="52"/>
      <c r="C2051" s="52"/>
      <c r="D2051" s="52"/>
      <c r="E2051" s="52"/>
      <c r="F2051" s="52"/>
      <c r="G2051" s="52"/>
      <c r="H2051" s="52"/>
      <c r="I2051" s="52"/>
      <c r="J2051" s="52"/>
      <c r="K2051" s="52"/>
      <c r="L2051" s="52"/>
      <c r="M2051" s="52"/>
      <c r="N2051" s="52"/>
      <c r="O2051" s="52"/>
      <c r="P2051" s="52"/>
      <c r="Q2051" s="52"/>
      <c r="R2051" s="52"/>
      <c r="S2051" s="52"/>
      <c r="T2051" s="668"/>
      <c r="U2051" s="668"/>
      <c r="V2051" s="52"/>
    </row>
    <row r="2052" spans="1:22" s="141" customFormat="1" ht="15.75" customHeight="1">
      <c r="A2052" s="650"/>
      <c r="B2052" s="1106" t="s">
        <v>1634</v>
      </c>
      <c r="C2052" s="1106"/>
      <c r="D2052" s="1106"/>
      <c r="E2052" s="1106"/>
      <c r="F2052" s="1106"/>
      <c r="G2052" s="1106"/>
      <c r="H2052" s="1106"/>
      <c r="I2052" s="1106"/>
      <c r="J2052" s="1106"/>
      <c r="K2052" s="1106"/>
      <c r="L2052" s="1106"/>
      <c r="M2052" s="1106"/>
      <c r="N2052" s="1106"/>
      <c r="O2052" s="1106"/>
      <c r="P2052" s="1106"/>
      <c r="Q2052" s="1106"/>
      <c r="R2052" s="1106"/>
      <c r="S2052" s="1106"/>
      <c r="T2052" s="1106"/>
      <c r="U2052" s="1106"/>
      <c r="V2052" s="52"/>
    </row>
    <row r="2053" spans="1:22" s="141" customFormat="1" ht="15.75" customHeight="1">
      <c r="A2053" s="650"/>
      <c r="B2053" s="1106" t="s">
        <v>1231</v>
      </c>
      <c r="C2053" s="1106"/>
      <c r="D2053" s="1106"/>
      <c r="E2053" s="1106"/>
      <c r="F2053" s="1106"/>
      <c r="G2053" s="1106"/>
      <c r="H2053" s="1106"/>
      <c r="I2053" s="1106"/>
      <c r="J2053" s="1106"/>
      <c r="K2053" s="1106"/>
      <c r="L2053" s="1106"/>
      <c r="M2053" s="1106"/>
      <c r="N2053" s="1106"/>
      <c r="O2053" s="1106"/>
      <c r="P2053" s="1106"/>
      <c r="Q2053" s="1106"/>
      <c r="R2053" s="1106"/>
      <c r="S2053" s="1106"/>
      <c r="T2053" s="1106"/>
      <c r="U2053" s="1106"/>
      <c r="V2053" s="52"/>
    </row>
    <row r="2054" spans="1:22" s="141" customFormat="1" ht="15.75" customHeight="1">
      <c r="A2054" s="650"/>
      <c r="B2054" s="813"/>
      <c r="C2054" s="642"/>
      <c r="D2054" s="642"/>
      <c r="E2054" s="642"/>
      <c r="F2054" s="642"/>
      <c r="G2054" s="642"/>
      <c r="H2054" s="642"/>
      <c r="I2054" s="642"/>
      <c r="J2054" s="642"/>
      <c r="K2054" s="642"/>
      <c r="L2054" s="642"/>
      <c r="M2054" s="642"/>
      <c r="N2054" s="642"/>
      <c r="O2054" s="642"/>
      <c r="P2054" s="642"/>
      <c r="Q2054" s="642"/>
      <c r="R2054" s="642"/>
      <c r="S2054" s="642"/>
      <c r="T2054" s="642"/>
      <c r="U2054" s="642"/>
      <c r="V2054" s="52"/>
    </row>
    <row r="2055" spans="1:22" s="141" customFormat="1" ht="61.5" customHeight="1">
      <c r="A2055" s="650"/>
      <c r="B2055" s="1108" t="str">
        <f>"Laporan Keuangan Tahun Anggaran "&amp;'2.ISIAN DATA SKPD'!D11&amp;"  "&amp;'2.ISIAN DATA SKPD'!D2&amp;" merupakan informasi mengenai kemampuan merealisasikan pelaksanaan kegiatan berdasarkan anggaran pendapatan, belanja dan pembiayaan yang telah ditetapkan."</f>
        <v>Laporan Keuangan Tahun Anggaran 2017  Kecamatan Kaliwiro merupakan informasi mengenai kemampuan merealisasikan pelaksanaan kegiatan berdasarkan anggaran pendapatan, belanja dan pembiayaan yang telah ditetapkan.</v>
      </c>
      <c r="C2055" s="1108"/>
      <c r="D2055" s="1108"/>
      <c r="E2055" s="1108"/>
      <c r="F2055" s="1108"/>
      <c r="G2055" s="1108"/>
      <c r="H2055" s="1108"/>
      <c r="I2055" s="1108"/>
      <c r="J2055" s="1108"/>
      <c r="K2055" s="1108"/>
      <c r="L2055" s="1108"/>
      <c r="M2055" s="1108"/>
      <c r="N2055" s="1108"/>
      <c r="O2055" s="1108"/>
      <c r="P2055" s="1108"/>
      <c r="Q2055" s="1108"/>
      <c r="R2055" s="1108"/>
      <c r="S2055" s="1108"/>
      <c r="T2055" s="1108"/>
      <c r="U2055" s="633"/>
      <c r="V2055" s="52"/>
    </row>
    <row r="2056" spans="1:22" s="141" customFormat="1" ht="89.25" customHeight="1">
      <c r="A2056" s="650"/>
      <c r="B2056" s="1108" t="str">
        <f>"Laporan keuangan ini menyajikan perbandingan antara anggaran pendapatan, anggaran belanja  dan pembiayaan dengan realisasinya dalam tahun anggaran "&amp;'2.ISIAN DATA SKPD'!D11&amp;" serta realisasi tahun anggaran sebelumnya, posisi kekayaan "&amp;'2.ISIAN DATA SKPD'!D2&amp;" dan kegiatan operasional, perubahan saldo maupun perubahan ekuitas selama 1 periode akuntansi sesuai dengan standar akuntansi pemerintahan."</f>
        <v>Laporan keuangan ini menyajikan perbandingan antara anggaran pendapatan, anggaran belanja  dan pembiayaan dengan realisasinya dalam tahun anggaran 2017 serta realisasi tahun anggaran sebelumnya, posisi kekayaan Kecamatan Kaliwiro dan kegiatan operasional, perubahan saldo maupun perubahan ekuitas selama 1 periode akuntansi sesuai dengan standar akuntansi pemerintahan.</v>
      </c>
      <c r="C2056" s="1108"/>
      <c r="D2056" s="1108"/>
      <c r="E2056" s="1108"/>
      <c r="F2056" s="1108"/>
      <c r="G2056" s="1108"/>
      <c r="H2056" s="1108"/>
      <c r="I2056" s="1108"/>
      <c r="J2056" s="1108"/>
      <c r="K2056" s="1108"/>
      <c r="L2056" s="1108"/>
      <c r="M2056" s="1108"/>
      <c r="N2056" s="1108"/>
      <c r="O2056" s="1108"/>
      <c r="P2056" s="1108"/>
      <c r="Q2056" s="1108"/>
      <c r="R2056" s="1108"/>
      <c r="S2056" s="1108"/>
      <c r="T2056" s="1108"/>
      <c r="U2056" s="633"/>
      <c r="V2056" s="52"/>
    </row>
    <row r="2057" spans="1:22" s="141" customFormat="1" ht="51.75" customHeight="1">
      <c r="A2057" s="650"/>
      <c r="B2057" s="1108" t="str">
        <f>"Demikian laporan keuangan ini disusun dengan penjelasan yang memadai sebagai bahan konsolidasi penyusunan Laporan Keuangan Pemerintah Daerah Kabupaten Wonosobo tahun anggaran "&amp;'2.ISIAN DATA SKPD'!D11&amp;"."</f>
        <v>Demikian laporan keuangan ini disusun dengan penjelasan yang memadai sebagai bahan konsolidasi penyusunan Laporan Keuangan Pemerintah Daerah Kabupaten Wonosobo tahun anggaran 2017.</v>
      </c>
      <c r="C2057" s="1108"/>
      <c r="D2057" s="1108"/>
      <c r="E2057" s="1108"/>
      <c r="F2057" s="1108"/>
      <c r="G2057" s="1108"/>
      <c r="H2057" s="1108"/>
      <c r="I2057" s="1108"/>
      <c r="J2057" s="1108"/>
      <c r="K2057" s="1108"/>
      <c r="L2057" s="1108"/>
      <c r="M2057" s="1108"/>
      <c r="N2057" s="1108"/>
      <c r="O2057" s="1108"/>
      <c r="P2057" s="1108"/>
      <c r="Q2057" s="1108"/>
      <c r="R2057" s="1108"/>
      <c r="S2057" s="1108"/>
      <c r="T2057" s="1108"/>
      <c r="U2057" s="633"/>
      <c r="V2057" s="52"/>
    </row>
    <row r="2058" spans="1:22" s="141" customFormat="1" ht="20.25" customHeight="1">
      <c r="A2058" s="650"/>
      <c r="B2058" s="633"/>
      <c r="C2058" s="633"/>
      <c r="D2058" s="633"/>
      <c r="E2058" s="633"/>
      <c r="F2058" s="633"/>
      <c r="G2058" s="633"/>
      <c r="H2058" s="633"/>
      <c r="I2058" s="633"/>
      <c r="J2058" s="633"/>
      <c r="K2058" s="633"/>
      <c r="L2058" s="633"/>
      <c r="M2058" s="633"/>
      <c r="N2058" s="633"/>
      <c r="O2058" s="633"/>
      <c r="P2058" s="633"/>
      <c r="Q2058" s="633"/>
      <c r="R2058" s="633"/>
      <c r="S2058" s="633"/>
      <c r="T2058" s="633"/>
      <c r="U2058" s="633"/>
      <c r="V2058" s="52"/>
    </row>
    <row r="2059" spans="1:22" s="141" customFormat="1" ht="18" customHeight="1">
      <c r="A2059" s="650"/>
      <c r="B2059" s="633"/>
      <c r="C2059" s="633"/>
      <c r="D2059" s="633"/>
      <c r="E2059" s="633"/>
      <c r="F2059" s="633"/>
      <c r="G2059" s="633"/>
      <c r="H2059" s="633"/>
      <c r="I2059" s="633"/>
      <c r="J2059" s="633"/>
      <c r="K2059" s="814"/>
      <c r="L2059" s="1113" t="str">
        <f>"Wonosobo, "&amp;'2.ISIAN DATA SKPD'!D19&amp;""</f>
        <v>Wonosobo, 15 Februari 2018</v>
      </c>
      <c r="M2059" s="1113"/>
      <c r="N2059" s="1113"/>
      <c r="O2059" s="1113"/>
      <c r="P2059" s="1113"/>
      <c r="Q2059" s="1113"/>
      <c r="R2059" s="1113"/>
      <c r="S2059" s="1113"/>
      <c r="T2059" s="1113"/>
      <c r="U2059" s="1113"/>
      <c r="V2059" s="52"/>
    </row>
    <row r="2060" spans="1:22" s="141" customFormat="1" ht="18" customHeight="1">
      <c r="A2060" s="650"/>
      <c r="B2060" s="633"/>
      <c r="C2060" s="633"/>
      <c r="D2060" s="633"/>
      <c r="E2060" s="633"/>
      <c r="F2060" s="633"/>
      <c r="G2060" s="633"/>
      <c r="H2060" s="633"/>
      <c r="I2060" s="633"/>
      <c r="J2060" s="633"/>
      <c r="K2060" s="814"/>
      <c r="L2060" s="1107" t="str">
        <f>"Kepala "&amp;'2.ISIAN DATA SKPD'!D2&amp;""</f>
        <v>Kepala Kecamatan Kaliwiro</v>
      </c>
      <c r="M2060" s="1107"/>
      <c r="N2060" s="1107"/>
      <c r="O2060" s="1107"/>
      <c r="P2060" s="1107"/>
      <c r="Q2060" s="1107"/>
      <c r="R2060" s="1107"/>
      <c r="S2060" s="1107"/>
      <c r="T2060" s="1107"/>
      <c r="U2060" s="1107"/>
      <c r="V2060" s="52"/>
    </row>
    <row r="2061" spans="1:22" s="141" customFormat="1" ht="18" customHeight="1">
      <c r="A2061" s="650"/>
      <c r="B2061" s="633"/>
      <c r="C2061" s="633"/>
      <c r="D2061" s="633"/>
      <c r="E2061" s="633"/>
      <c r="F2061" s="633"/>
      <c r="G2061" s="633"/>
      <c r="H2061" s="633"/>
      <c r="I2061" s="633"/>
      <c r="J2061" s="633"/>
      <c r="K2061" s="814"/>
      <c r="L2061" s="814"/>
      <c r="M2061" s="815"/>
      <c r="N2061" s="815"/>
      <c r="O2061" s="815"/>
      <c r="P2061" s="815"/>
      <c r="Q2061" s="815"/>
      <c r="R2061" s="815"/>
      <c r="S2061" s="815"/>
      <c r="T2061" s="633"/>
      <c r="U2061" s="633"/>
      <c r="V2061" s="52"/>
    </row>
    <row r="2062" spans="1:22" s="141" customFormat="1" ht="18" customHeight="1">
      <c r="A2062" s="650"/>
      <c r="B2062" s="633"/>
      <c r="C2062" s="633"/>
      <c r="D2062" s="633"/>
      <c r="E2062" s="633"/>
      <c r="F2062" s="633"/>
      <c r="G2062" s="633"/>
      <c r="H2062" s="633"/>
      <c r="I2062" s="633"/>
      <c r="J2062" s="633"/>
      <c r="K2062" s="814"/>
      <c r="L2062" s="814"/>
      <c r="M2062" s="815"/>
      <c r="N2062" s="815"/>
      <c r="O2062" s="815"/>
      <c r="P2062" s="815"/>
      <c r="Q2062" s="815"/>
      <c r="R2062" s="815"/>
      <c r="S2062" s="815"/>
      <c r="T2062" s="633"/>
      <c r="U2062" s="633"/>
      <c r="V2062" s="52"/>
    </row>
    <row r="2063" spans="1:22" s="141" customFormat="1" ht="18" customHeight="1">
      <c r="A2063" s="650"/>
      <c r="B2063" s="633"/>
      <c r="C2063" s="633"/>
      <c r="D2063" s="633"/>
      <c r="E2063" s="633"/>
      <c r="F2063" s="633"/>
      <c r="G2063" s="633"/>
      <c r="H2063" s="633"/>
      <c r="I2063" s="633"/>
      <c r="J2063" s="633"/>
      <c r="K2063" s="814"/>
      <c r="L2063" s="814"/>
      <c r="M2063" s="815"/>
      <c r="N2063" s="815"/>
      <c r="O2063" s="815"/>
      <c r="P2063" s="815"/>
      <c r="Q2063" s="815"/>
      <c r="R2063" s="815"/>
      <c r="S2063" s="815"/>
      <c r="T2063" s="633"/>
      <c r="U2063" s="633"/>
      <c r="V2063" s="52"/>
    </row>
    <row r="2064" spans="1:22" s="141" customFormat="1" ht="17.25" customHeight="1">
      <c r="A2064" s="650"/>
      <c r="B2064" s="633"/>
      <c r="C2064" s="633"/>
      <c r="D2064" s="633"/>
      <c r="E2064" s="633"/>
      <c r="F2064" s="633"/>
      <c r="G2064" s="633"/>
      <c r="H2064" s="633"/>
      <c r="I2064" s="633"/>
      <c r="J2064" s="633"/>
      <c r="K2064" s="814"/>
      <c r="L2064" s="1109" t="str">
        <f>'2.ISIAN DATA SKPD'!D13</f>
        <v>Hemi widiyanto, S.Sos,MM</v>
      </c>
      <c r="M2064" s="1109"/>
      <c r="N2064" s="1109"/>
      <c r="O2064" s="1109"/>
      <c r="P2064" s="1109"/>
      <c r="Q2064" s="1109"/>
      <c r="R2064" s="1109"/>
      <c r="S2064" s="1109"/>
      <c r="T2064" s="1109"/>
      <c r="U2064" s="1109"/>
      <c r="V2064" s="52"/>
    </row>
    <row r="2065" spans="1:22" s="141" customFormat="1" ht="18.75" customHeight="1">
      <c r="A2065" s="650"/>
      <c r="K2065" s="814"/>
      <c r="L2065" s="1107" t="str">
        <f>"NIP. "&amp;'2.ISIAN DATA SKPD'!D14&amp;""</f>
        <v>NIP. 196010221986071001</v>
      </c>
      <c r="M2065" s="1107"/>
      <c r="N2065" s="1107"/>
      <c r="O2065" s="1107"/>
      <c r="P2065" s="1107"/>
      <c r="Q2065" s="1107"/>
      <c r="R2065" s="1107"/>
      <c r="S2065" s="1107"/>
      <c r="T2065" s="1107"/>
      <c r="U2065" s="1107"/>
      <c r="V2065" s="52"/>
    </row>
    <row r="2066" spans="1:22" s="141" customFormat="1" ht="15.75" customHeight="1">
      <c r="A2066" s="666"/>
      <c r="B2066" s="52"/>
      <c r="C2066" s="52"/>
      <c r="D2066" s="52"/>
      <c r="E2066" s="52"/>
      <c r="F2066" s="52"/>
      <c r="G2066" s="52"/>
      <c r="H2066" s="52"/>
      <c r="I2066" s="52"/>
      <c r="J2066" s="52"/>
      <c r="K2066" s="1415"/>
      <c r="L2066" s="1415"/>
      <c r="M2066" s="1416"/>
      <c r="N2066" s="1416"/>
      <c r="O2066" s="1416"/>
      <c r="P2066" s="1416"/>
      <c r="Q2066" s="1416"/>
      <c r="R2066" s="1416"/>
      <c r="S2066" s="1416"/>
      <c r="T2066" s="668"/>
      <c r="U2066" s="668"/>
      <c r="V2066" s="52"/>
    </row>
    <row r="2067" spans="1:22" s="141" customFormat="1" ht="15.75" customHeight="1">
      <c r="A2067" s="666"/>
      <c r="B2067" s="52"/>
      <c r="C2067" s="52"/>
      <c r="D2067" s="52"/>
      <c r="E2067" s="52"/>
      <c r="F2067" s="52"/>
      <c r="G2067" s="52"/>
      <c r="H2067" s="52"/>
      <c r="I2067" s="52"/>
      <c r="J2067" s="52"/>
      <c r="K2067" s="52"/>
      <c r="L2067" s="52"/>
      <c r="M2067" s="52"/>
      <c r="N2067" s="52"/>
      <c r="O2067" s="52"/>
      <c r="P2067" s="52"/>
      <c r="Q2067" s="52"/>
      <c r="R2067" s="52"/>
      <c r="S2067" s="52"/>
      <c r="T2067" s="668"/>
      <c r="U2067" s="668"/>
      <c r="V2067" s="52"/>
    </row>
    <row r="2068" spans="2:21" ht="15">
      <c r="B2068" s="52"/>
      <c r="C2068" s="52"/>
      <c r="D2068" s="52"/>
      <c r="E2068" s="52"/>
      <c r="F2068" s="52"/>
      <c r="G2068" s="52"/>
      <c r="H2068" s="52"/>
      <c r="I2068" s="52"/>
      <c r="J2068" s="52"/>
      <c r="K2068" s="52"/>
      <c r="L2068" s="52"/>
      <c r="M2068" s="52"/>
      <c r="N2068" s="52"/>
      <c r="O2068" s="52"/>
      <c r="P2068" s="52"/>
      <c r="Q2068" s="52"/>
      <c r="R2068" s="52"/>
      <c r="S2068" s="52"/>
      <c r="T2068" s="668"/>
      <c r="U2068" s="668"/>
    </row>
    <row r="2069" spans="2:21" ht="15">
      <c r="B2069" s="52"/>
      <c r="C2069" s="52"/>
      <c r="D2069" s="52"/>
      <c r="E2069" s="52"/>
      <c r="F2069" s="52"/>
      <c r="G2069" s="52"/>
      <c r="H2069" s="52"/>
      <c r="I2069" s="52"/>
      <c r="J2069" s="52"/>
      <c r="K2069" s="52"/>
      <c r="L2069" s="52"/>
      <c r="M2069" s="52"/>
      <c r="N2069" s="52"/>
      <c r="O2069" s="52"/>
      <c r="P2069" s="52"/>
      <c r="Q2069" s="52"/>
      <c r="R2069" s="52"/>
      <c r="S2069" s="52"/>
      <c r="T2069" s="668"/>
      <c r="U2069" s="668"/>
    </row>
    <row r="2070" spans="2:21" ht="15">
      <c r="B2070" s="52"/>
      <c r="C2070" s="52"/>
      <c r="D2070" s="52"/>
      <c r="E2070" s="52"/>
      <c r="F2070" s="52"/>
      <c r="G2070" s="52"/>
      <c r="H2070" s="52"/>
      <c r="I2070" s="52"/>
      <c r="J2070" s="52"/>
      <c r="K2070" s="52"/>
      <c r="L2070" s="52"/>
      <c r="M2070" s="52"/>
      <c r="N2070" s="52"/>
      <c r="O2070" s="52"/>
      <c r="P2070" s="52"/>
      <c r="Q2070" s="52"/>
      <c r="R2070" s="52"/>
      <c r="S2070" s="52"/>
      <c r="T2070" s="668"/>
      <c r="U2070" s="668"/>
    </row>
    <row r="2071" spans="2:21" ht="15">
      <c r="B2071" s="52"/>
      <c r="C2071" s="52"/>
      <c r="D2071" s="52"/>
      <c r="E2071" s="52"/>
      <c r="F2071" s="52"/>
      <c r="G2071" s="52"/>
      <c r="H2071" s="52"/>
      <c r="I2071" s="52"/>
      <c r="J2071" s="52"/>
      <c r="K2071" s="52"/>
      <c r="L2071" s="52"/>
      <c r="M2071" s="52"/>
      <c r="N2071" s="52"/>
      <c r="O2071" s="52"/>
      <c r="P2071" s="52"/>
      <c r="Q2071" s="52"/>
      <c r="R2071" s="52"/>
      <c r="S2071" s="52"/>
      <c r="T2071" s="668"/>
      <c r="U2071" s="668"/>
    </row>
    <row r="2072" spans="2:21" ht="15">
      <c r="B2072" s="52"/>
      <c r="C2072" s="52"/>
      <c r="D2072" s="52"/>
      <c r="E2072" s="52"/>
      <c r="F2072" s="52"/>
      <c r="G2072" s="52"/>
      <c r="H2072" s="52"/>
      <c r="I2072" s="52"/>
      <c r="J2072" s="52"/>
      <c r="K2072" s="52"/>
      <c r="L2072" s="52"/>
      <c r="M2072" s="52"/>
      <c r="N2072" s="52"/>
      <c r="O2072" s="52"/>
      <c r="P2072" s="52"/>
      <c r="Q2072" s="52"/>
      <c r="R2072" s="52"/>
      <c r="S2072" s="52"/>
      <c r="T2072" s="668"/>
      <c r="U2072" s="668"/>
    </row>
    <row r="2082" ht="120" customHeight="1"/>
    <row r="2154" spans="20:21" ht="15">
      <c r="T2154" s="640"/>
      <c r="U2154" s="640"/>
    </row>
    <row r="2155" spans="20:21" ht="15">
      <c r="T2155" s="640"/>
      <c r="U2155" s="640"/>
    </row>
    <row r="2156" spans="20:21" ht="15">
      <c r="T2156" s="640"/>
      <c r="U2156" s="640"/>
    </row>
    <row r="2157" spans="20:21" ht="15">
      <c r="T2157" s="640"/>
      <c r="U2157" s="640"/>
    </row>
    <row r="2158" spans="20:21" ht="15">
      <c r="T2158" s="640"/>
      <c r="U2158" s="640"/>
    </row>
    <row r="2159" spans="20:21" ht="15">
      <c r="T2159" s="640"/>
      <c r="U2159" s="640"/>
    </row>
    <row r="2160" ht="15.75">
      <c r="B2160" s="816"/>
    </row>
    <row r="2161" ht="15.75">
      <c r="B2161" s="816"/>
    </row>
    <row r="2162" spans="2:3" ht="330.75">
      <c r="B2162" s="1414"/>
      <c r="C2162" s="817" t="s">
        <v>1629</v>
      </c>
    </row>
    <row r="2163" spans="2:3" ht="15.75">
      <c r="B2163" s="1414"/>
      <c r="C2163" s="818"/>
    </row>
    <row r="2164" spans="2:3" ht="15.75">
      <c r="B2164" s="1414"/>
      <c r="C2164" s="819" t="s">
        <v>1232</v>
      </c>
    </row>
    <row r="2165" spans="2:3" ht="15.75">
      <c r="B2165" s="1414"/>
      <c r="C2165" s="819"/>
    </row>
    <row r="2166" spans="2:3" ht="15.75">
      <c r="B2166" s="1414"/>
      <c r="C2166" s="820"/>
    </row>
    <row r="2167" spans="2:3" ht="15.75">
      <c r="B2167" s="1414"/>
      <c r="C2167" s="820"/>
    </row>
    <row r="2168" spans="2:3" ht="15.75">
      <c r="B2168" s="1414"/>
      <c r="C2168" s="820"/>
    </row>
  </sheetData>
  <sheetProtection/>
  <mergeCells count="4545">
    <mergeCell ref="Y438:AB438"/>
    <mergeCell ref="AC438:AF438"/>
    <mergeCell ref="A439:D439"/>
    <mergeCell ref="E439:I439"/>
    <mergeCell ref="J439:N439"/>
    <mergeCell ref="O439:S439"/>
    <mergeCell ref="T439:U439"/>
    <mergeCell ref="V439:X439"/>
    <mergeCell ref="Y439:AB439"/>
    <mergeCell ref="AC439:AF439"/>
    <mergeCell ref="A438:D438"/>
    <mergeCell ref="E438:I438"/>
    <mergeCell ref="J438:N438"/>
    <mergeCell ref="O438:S438"/>
    <mergeCell ref="T438:U438"/>
    <mergeCell ref="V438:X438"/>
    <mergeCell ref="J1409:O1409"/>
    <mergeCell ref="AC555:AF555"/>
    <mergeCell ref="V553:X553"/>
    <mergeCell ref="Y553:AB553"/>
    <mergeCell ref="AC553:AF553"/>
    <mergeCell ref="Y554:AB554"/>
    <mergeCell ref="V554:X554"/>
    <mergeCell ref="AC554:AF554"/>
    <mergeCell ref="V555:X555"/>
    <mergeCell ref="Y555:AB555"/>
    <mergeCell ref="A1399:F1399"/>
    <mergeCell ref="G1400:L1400"/>
    <mergeCell ref="M1402:R1402"/>
    <mergeCell ref="M1399:R1399"/>
    <mergeCell ref="S1399:U1399"/>
    <mergeCell ref="S1400:U1400"/>
    <mergeCell ref="J554:N554"/>
    <mergeCell ref="C1942:N1942"/>
    <mergeCell ref="C1943:N1943"/>
    <mergeCell ref="P1942:U1942"/>
    <mergeCell ref="P1943:U1943"/>
    <mergeCell ref="A547:D547"/>
    <mergeCell ref="E547:I547"/>
    <mergeCell ref="J547:N547"/>
    <mergeCell ref="O555:S555"/>
    <mergeCell ref="T555:U555"/>
    <mergeCell ref="V547:X547"/>
    <mergeCell ref="AC545:AF545"/>
    <mergeCell ref="A546:D546"/>
    <mergeCell ref="E546:I546"/>
    <mergeCell ref="J546:N546"/>
    <mergeCell ref="O546:S546"/>
    <mergeCell ref="T546:U546"/>
    <mergeCell ref="V546:X546"/>
    <mergeCell ref="Y547:AB547"/>
    <mergeCell ref="AC547:AF547"/>
    <mergeCell ref="Y546:AB546"/>
    <mergeCell ref="AC546:AF546"/>
    <mergeCell ref="A545:D545"/>
    <mergeCell ref="Y515:AB515"/>
    <mergeCell ref="AC515:AF515"/>
    <mergeCell ref="A516:D516"/>
    <mergeCell ref="E516:I516"/>
    <mergeCell ref="J516:N516"/>
    <mergeCell ref="O516:S516"/>
    <mergeCell ref="T516:U516"/>
    <mergeCell ref="V516:X516"/>
    <mergeCell ref="Y516:AB516"/>
    <mergeCell ref="AC516:AF516"/>
    <mergeCell ref="A515:D515"/>
    <mergeCell ref="E515:I515"/>
    <mergeCell ref="J515:N515"/>
    <mergeCell ref="O515:S515"/>
    <mergeCell ref="T515:U515"/>
    <mergeCell ref="V515:X515"/>
    <mergeCell ref="Y513:AB513"/>
    <mergeCell ref="AC513:AF513"/>
    <mergeCell ref="A514:D514"/>
    <mergeCell ref="E514:I514"/>
    <mergeCell ref="J514:N514"/>
    <mergeCell ref="O514:S514"/>
    <mergeCell ref="T514:U514"/>
    <mergeCell ref="V514:X514"/>
    <mergeCell ref="Y514:AB514"/>
    <mergeCell ref="AC514:AF514"/>
    <mergeCell ref="A513:D513"/>
    <mergeCell ref="E513:I513"/>
    <mergeCell ref="J513:N513"/>
    <mergeCell ref="O513:S513"/>
    <mergeCell ref="T513:U513"/>
    <mergeCell ref="V513:X513"/>
    <mergeCell ref="Y511:AB511"/>
    <mergeCell ref="AC511:AF511"/>
    <mergeCell ref="A512:D512"/>
    <mergeCell ref="E512:I512"/>
    <mergeCell ref="J512:N512"/>
    <mergeCell ref="O512:S512"/>
    <mergeCell ref="T512:U512"/>
    <mergeCell ref="V512:X512"/>
    <mergeCell ref="Y512:AB512"/>
    <mergeCell ref="AC512:AF512"/>
    <mergeCell ref="Y505:AB505"/>
    <mergeCell ref="AC505:AF505"/>
    <mergeCell ref="E508:U508"/>
    <mergeCell ref="E509:U509"/>
    <mergeCell ref="A511:D511"/>
    <mergeCell ref="E511:I511"/>
    <mergeCell ref="J511:N511"/>
    <mergeCell ref="O511:S511"/>
    <mergeCell ref="T511:U511"/>
    <mergeCell ref="V511:X511"/>
    <mergeCell ref="A505:D505"/>
    <mergeCell ref="E505:I505"/>
    <mergeCell ref="J505:N505"/>
    <mergeCell ref="O505:S505"/>
    <mergeCell ref="T505:U505"/>
    <mergeCell ref="V505:X505"/>
    <mergeCell ref="A504:D504"/>
    <mergeCell ref="E504:I504"/>
    <mergeCell ref="J504:N504"/>
    <mergeCell ref="O504:S504"/>
    <mergeCell ref="T504:U504"/>
    <mergeCell ref="V504:X504"/>
    <mergeCell ref="Y504:AB504"/>
    <mergeCell ref="AC504:AF504"/>
    <mergeCell ref="C1944:N1944"/>
    <mergeCell ref="P1944:U1944"/>
    <mergeCell ref="AC503:AF503"/>
    <mergeCell ref="C1947:N1947"/>
    <mergeCell ref="AC1504:AF1504"/>
    <mergeCell ref="V1503:X1503"/>
    <mergeCell ref="S1401:U1401"/>
    <mergeCell ref="S1402:U1402"/>
    <mergeCell ref="C1948:N1948"/>
    <mergeCell ref="C1949:N1949"/>
    <mergeCell ref="C1950:N1950"/>
    <mergeCell ref="C1951:N1951"/>
    <mergeCell ref="P1947:U1947"/>
    <mergeCell ref="P1948:U1948"/>
    <mergeCell ref="P1949:U1949"/>
    <mergeCell ref="P1950:U1950"/>
    <mergeCell ref="V502:X502"/>
    <mergeCell ref="Y502:AB502"/>
    <mergeCell ref="AC502:AF502"/>
    <mergeCell ref="A503:D503"/>
    <mergeCell ref="E503:I503"/>
    <mergeCell ref="J503:N503"/>
    <mergeCell ref="O503:S503"/>
    <mergeCell ref="T503:U503"/>
    <mergeCell ref="V503:X503"/>
    <mergeCell ref="Y503:AB503"/>
    <mergeCell ref="E500:U500"/>
    <mergeCell ref="A502:D502"/>
    <mergeCell ref="E502:I502"/>
    <mergeCell ref="J502:N502"/>
    <mergeCell ref="O502:S502"/>
    <mergeCell ref="T502:U502"/>
    <mergeCell ref="AC496:AF496"/>
    <mergeCell ref="E499:U499"/>
    <mergeCell ref="V494:X494"/>
    <mergeCell ref="V495:X495"/>
    <mergeCell ref="V496:X496"/>
    <mergeCell ref="Y496:AB496"/>
    <mergeCell ref="O495:S495"/>
    <mergeCell ref="T495:U495"/>
    <mergeCell ref="A496:D496"/>
    <mergeCell ref="E496:I496"/>
    <mergeCell ref="J496:N496"/>
    <mergeCell ref="O496:S496"/>
    <mergeCell ref="T496:U496"/>
    <mergeCell ref="O494:S494"/>
    <mergeCell ref="T494:U494"/>
    <mergeCell ref="A495:D495"/>
    <mergeCell ref="E495:I495"/>
    <mergeCell ref="J495:N495"/>
    <mergeCell ref="AC1505:AF1505"/>
    <mergeCell ref="V1506:X1506"/>
    <mergeCell ref="Y1506:AB1506"/>
    <mergeCell ref="AC1506:AF1506"/>
    <mergeCell ref="Y1503:AB1503"/>
    <mergeCell ref="AC1503:AF1503"/>
    <mergeCell ref="V1504:X1504"/>
    <mergeCell ref="Y1504:AB1504"/>
    <mergeCell ref="V1507:X1507"/>
    <mergeCell ref="Y1507:AB1507"/>
    <mergeCell ref="I1507:N1507"/>
    <mergeCell ref="A1507:H1507"/>
    <mergeCell ref="O1503:U1503"/>
    <mergeCell ref="AC1507:AF1507"/>
    <mergeCell ref="V1505:X1505"/>
    <mergeCell ref="Y1505:AB1505"/>
    <mergeCell ref="O1505:U1505"/>
    <mergeCell ref="A1506:H1506"/>
    <mergeCell ref="V1380:X1380"/>
    <mergeCell ref="Y1380:AB1380"/>
    <mergeCell ref="AC1380:AF1380"/>
    <mergeCell ref="O1507:U1507"/>
    <mergeCell ref="O1504:U1504"/>
    <mergeCell ref="C1397:U1397"/>
    <mergeCell ref="L1380:N1380"/>
    <mergeCell ref="O1380:Q1380"/>
    <mergeCell ref="E1496:M1496"/>
    <mergeCell ref="P1490:U1490"/>
    <mergeCell ref="O1378:Q1378"/>
    <mergeCell ref="R1380:U1380"/>
    <mergeCell ref="R1378:U1378"/>
    <mergeCell ref="B1378:E1378"/>
    <mergeCell ref="V1377:X1377"/>
    <mergeCell ref="Y1377:AB1377"/>
    <mergeCell ref="F1378:H1378"/>
    <mergeCell ref="I1378:K1378"/>
    <mergeCell ref="B1380:E1380"/>
    <mergeCell ref="O1377:Q1377"/>
    <mergeCell ref="AC1377:AF1377"/>
    <mergeCell ref="V1378:X1378"/>
    <mergeCell ref="Y1378:AB1378"/>
    <mergeCell ref="C1388:U1388"/>
    <mergeCell ref="V1375:X1375"/>
    <mergeCell ref="Y1375:AB1375"/>
    <mergeCell ref="AC1375:AF1375"/>
    <mergeCell ref="AC1378:AF1378"/>
    <mergeCell ref="V1379:X1379"/>
    <mergeCell ref="Y1379:AB1379"/>
    <mergeCell ref="AC1379:AF1379"/>
    <mergeCell ref="V1376:X1376"/>
    <mergeCell ref="Y1376:AB1376"/>
    <mergeCell ref="AC1376:AF1376"/>
    <mergeCell ref="V1367:X1367"/>
    <mergeCell ref="Y1367:AB1367"/>
    <mergeCell ref="AC1367:AF1367"/>
    <mergeCell ref="V1374:X1374"/>
    <mergeCell ref="Y1374:AB1374"/>
    <mergeCell ref="AC1374:AF1374"/>
    <mergeCell ref="V1365:X1365"/>
    <mergeCell ref="Y1365:AB1365"/>
    <mergeCell ref="AC1365:AF1365"/>
    <mergeCell ref="V1366:X1366"/>
    <mergeCell ref="Y1366:AB1366"/>
    <mergeCell ref="AC1366:AF1366"/>
    <mergeCell ref="V1363:X1363"/>
    <mergeCell ref="Y1363:AB1363"/>
    <mergeCell ref="AC1363:AF1363"/>
    <mergeCell ref="V1364:X1364"/>
    <mergeCell ref="Y1364:AB1364"/>
    <mergeCell ref="AC1364:AF1364"/>
    <mergeCell ref="V1361:X1361"/>
    <mergeCell ref="Y1361:AB1361"/>
    <mergeCell ref="AC1361:AF1361"/>
    <mergeCell ref="V1362:X1362"/>
    <mergeCell ref="Y1362:AB1362"/>
    <mergeCell ref="AC1362:AF1362"/>
    <mergeCell ref="V1355:X1355"/>
    <mergeCell ref="Y1355:AB1355"/>
    <mergeCell ref="AC1355:AF1355"/>
    <mergeCell ref="V1360:X1360"/>
    <mergeCell ref="Y1360:AB1360"/>
    <mergeCell ref="AC1360:AF1360"/>
    <mergeCell ref="V1353:X1353"/>
    <mergeCell ref="Y1353:AB1353"/>
    <mergeCell ref="AC1353:AF1353"/>
    <mergeCell ref="V1354:X1354"/>
    <mergeCell ref="Y1354:AB1354"/>
    <mergeCell ref="AC1354:AF1354"/>
    <mergeCell ref="V1351:X1351"/>
    <mergeCell ref="Y1351:AB1351"/>
    <mergeCell ref="AC1351:AF1351"/>
    <mergeCell ref="V1352:X1352"/>
    <mergeCell ref="Y1352:AB1352"/>
    <mergeCell ref="AC1352:AF1352"/>
    <mergeCell ref="AC1342:AF1342"/>
    <mergeCell ref="AC1343:AF1343"/>
    <mergeCell ref="V1349:X1349"/>
    <mergeCell ref="Y1349:AB1349"/>
    <mergeCell ref="AC1349:AF1349"/>
    <mergeCell ref="V1350:X1350"/>
    <mergeCell ref="Y1350:AB1350"/>
    <mergeCell ref="AC1350:AF1350"/>
    <mergeCell ref="V1342:X1342"/>
    <mergeCell ref="Y1342:AB1342"/>
    <mergeCell ref="V1343:X1343"/>
    <mergeCell ref="Y1343:AB1343"/>
    <mergeCell ref="AC1336:AF1336"/>
    <mergeCell ref="AC1337:AF1337"/>
    <mergeCell ref="AC1338:AF1338"/>
    <mergeCell ref="AC1339:AF1339"/>
    <mergeCell ref="AC1340:AF1340"/>
    <mergeCell ref="AC1341:AF1341"/>
    <mergeCell ref="V1339:X1339"/>
    <mergeCell ref="Y1339:AB1339"/>
    <mergeCell ref="V1340:X1340"/>
    <mergeCell ref="Y1340:AB1340"/>
    <mergeCell ref="V1341:X1341"/>
    <mergeCell ref="Y1341:AB1341"/>
    <mergeCell ref="V1336:X1336"/>
    <mergeCell ref="Y1336:AB1336"/>
    <mergeCell ref="V1337:X1337"/>
    <mergeCell ref="Y1337:AB1337"/>
    <mergeCell ref="V1338:X1338"/>
    <mergeCell ref="Y1338:AB1338"/>
    <mergeCell ref="V1328:X1328"/>
    <mergeCell ref="Y1328:AB1328"/>
    <mergeCell ref="AC1328:AF1328"/>
    <mergeCell ref="V1329:X1329"/>
    <mergeCell ref="Y1329:AB1329"/>
    <mergeCell ref="AC1329:AF1329"/>
    <mergeCell ref="V1326:X1326"/>
    <mergeCell ref="Y1326:AB1326"/>
    <mergeCell ref="AC1326:AF1326"/>
    <mergeCell ref="V1327:X1327"/>
    <mergeCell ref="Y1327:AB1327"/>
    <mergeCell ref="AC1327:AF1327"/>
    <mergeCell ref="V1324:X1324"/>
    <mergeCell ref="Y1324:AB1324"/>
    <mergeCell ref="AC1324:AF1324"/>
    <mergeCell ref="V1325:X1325"/>
    <mergeCell ref="Y1325:AB1325"/>
    <mergeCell ref="AC1325:AF1325"/>
    <mergeCell ref="V1322:X1322"/>
    <mergeCell ref="Y1322:AB1322"/>
    <mergeCell ref="AC1322:AF1322"/>
    <mergeCell ref="V1323:X1323"/>
    <mergeCell ref="Y1323:AB1323"/>
    <mergeCell ref="AC1323:AF1323"/>
    <mergeCell ref="V1311:X1311"/>
    <mergeCell ref="Y1311:AB1311"/>
    <mergeCell ref="AC1311:AF1311"/>
    <mergeCell ref="V1312:X1312"/>
    <mergeCell ref="Y1312:AB1312"/>
    <mergeCell ref="AC1312:AF1312"/>
    <mergeCell ref="V1309:X1309"/>
    <mergeCell ref="Y1309:AB1309"/>
    <mergeCell ref="AC1309:AF1309"/>
    <mergeCell ref="V1310:X1310"/>
    <mergeCell ref="Y1310:AB1310"/>
    <mergeCell ref="AC1310:AF1310"/>
    <mergeCell ref="V1307:X1307"/>
    <mergeCell ref="Y1307:AB1307"/>
    <mergeCell ref="AC1307:AF1307"/>
    <mergeCell ref="V1308:X1308"/>
    <mergeCell ref="Y1308:AB1308"/>
    <mergeCell ref="AC1308:AF1308"/>
    <mergeCell ref="V1305:X1305"/>
    <mergeCell ref="Y1305:AB1305"/>
    <mergeCell ref="AC1305:AF1305"/>
    <mergeCell ref="V1306:X1306"/>
    <mergeCell ref="Y1306:AB1306"/>
    <mergeCell ref="AC1306:AF1306"/>
    <mergeCell ref="V1303:X1303"/>
    <mergeCell ref="Y1303:AB1303"/>
    <mergeCell ref="AC1303:AF1303"/>
    <mergeCell ref="V1304:X1304"/>
    <mergeCell ref="Y1304:AB1304"/>
    <mergeCell ref="AC1304:AF1304"/>
    <mergeCell ref="V1254:X1254"/>
    <mergeCell ref="Y1254:AB1254"/>
    <mergeCell ref="AC1254:AF1254"/>
    <mergeCell ref="V1255:X1255"/>
    <mergeCell ref="Y1255:AB1255"/>
    <mergeCell ref="AC1255:AF1255"/>
    <mergeCell ref="V1224:X1224"/>
    <mergeCell ref="Y1224:AB1224"/>
    <mergeCell ref="AC1224:AF1224"/>
    <mergeCell ref="V1225:X1225"/>
    <mergeCell ref="Y1225:AB1225"/>
    <mergeCell ref="AC1225:AF1225"/>
    <mergeCell ref="V1211:X1211"/>
    <mergeCell ref="Y1211:AB1211"/>
    <mergeCell ref="AC1211:AF1211"/>
    <mergeCell ref="V1212:X1212"/>
    <mergeCell ref="Y1212:AB1212"/>
    <mergeCell ref="AC1212:AF1212"/>
    <mergeCell ref="V1197:X1197"/>
    <mergeCell ref="Y1197:AB1197"/>
    <mergeCell ref="AC1197:AF1197"/>
    <mergeCell ref="V1198:X1198"/>
    <mergeCell ref="Y1198:AB1198"/>
    <mergeCell ref="AC1198:AF1198"/>
    <mergeCell ref="V1184:X1184"/>
    <mergeCell ref="Y1184:AB1184"/>
    <mergeCell ref="AC1184:AF1184"/>
    <mergeCell ref="V1185:X1185"/>
    <mergeCell ref="Y1185:AB1185"/>
    <mergeCell ref="AC1185:AF1185"/>
    <mergeCell ref="V1166:X1166"/>
    <mergeCell ref="Y1166:AB1166"/>
    <mergeCell ref="AC1166:AF1166"/>
    <mergeCell ref="V1167:X1167"/>
    <mergeCell ref="Y1167:AB1167"/>
    <mergeCell ref="AC1167:AF1167"/>
    <mergeCell ref="V1151:X1151"/>
    <mergeCell ref="Y1151:AB1151"/>
    <mergeCell ref="AC1151:AF1151"/>
    <mergeCell ref="V1152:X1152"/>
    <mergeCell ref="Y1152:AB1152"/>
    <mergeCell ref="AC1152:AF1152"/>
    <mergeCell ref="V1138:X1138"/>
    <mergeCell ref="Y1138:AB1138"/>
    <mergeCell ref="AC1138:AF1138"/>
    <mergeCell ref="V1139:X1139"/>
    <mergeCell ref="Y1139:AB1139"/>
    <mergeCell ref="AC1139:AF1139"/>
    <mergeCell ref="V1131:X1131"/>
    <mergeCell ref="Y1131:AB1131"/>
    <mergeCell ref="AC1131:AF1131"/>
    <mergeCell ref="V1132:X1132"/>
    <mergeCell ref="Y1132:AB1132"/>
    <mergeCell ref="AC1132:AF1132"/>
    <mergeCell ref="V1081:X1081"/>
    <mergeCell ref="Y1081:AB1081"/>
    <mergeCell ref="AC1081:AF1081"/>
    <mergeCell ref="V1067:X1067"/>
    <mergeCell ref="Y1067:AB1067"/>
    <mergeCell ref="AC1067:AF1067"/>
    <mergeCell ref="V1080:X1080"/>
    <mergeCell ref="Y1080:AB1080"/>
    <mergeCell ref="AC1080:AF1080"/>
    <mergeCell ref="V1060:X1060"/>
    <mergeCell ref="Y1060:AB1060"/>
    <mergeCell ref="AC1060:AF1060"/>
    <mergeCell ref="V1066:X1066"/>
    <mergeCell ref="Y1066:AB1066"/>
    <mergeCell ref="AC1066:AF1066"/>
    <mergeCell ref="V1059:X1059"/>
    <mergeCell ref="Y1059:AB1059"/>
    <mergeCell ref="AC1059:AF1059"/>
    <mergeCell ref="V997:X997"/>
    <mergeCell ref="Y997:AB997"/>
    <mergeCell ref="AC997:AF997"/>
    <mergeCell ref="V998:X998"/>
    <mergeCell ref="Y998:AB998"/>
    <mergeCell ref="AC998:AF998"/>
    <mergeCell ref="V984:X984"/>
    <mergeCell ref="Y984:AB984"/>
    <mergeCell ref="AC984:AF984"/>
    <mergeCell ref="V985:X985"/>
    <mergeCell ref="Y985:AB985"/>
    <mergeCell ref="AC985:AF985"/>
    <mergeCell ref="V971:X971"/>
    <mergeCell ref="Y971:AB971"/>
    <mergeCell ref="AC971:AF971"/>
    <mergeCell ref="V972:X972"/>
    <mergeCell ref="Y972:AB972"/>
    <mergeCell ref="AC972:AF972"/>
    <mergeCell ref="V958:X958"/>
    <mergeCell ref="Y958:AB958"/>
    <mergeCell ref="AC958:AF958"/>
    <mergeCell ref="V959:X959"/>
    <mergeCell ref="Y959:AB959"/>
    <mergeCell ref="AC959:AF959"/>
    <mergeCell ref="V946:X946"/>
    <mergeCell ref="Y946:AB946"/>
    <mergeCell ref="AC946:AF946"/>
    <mergeCell ref="V947:X947"/>
    <mergeCell ref="Y947:AB947"/>
    <mergeCell ref="AC947:AF947"/>
    <mergeCell ref="V935:X935"/>
    <mergeCell ref="Y935:AB935"/>
    <mergeCell ref="AC935:AF935"/>
    <mergeCell ref="V936:X936"/>
    <mergeCell ref="Y936:AB936"/>
    <mergeCell ref="AC936:AF936"/>
    <mergeCell ref="V869:X869"/>
    <mergeCell ref="Y869:AB869"/>
    <mergeCell ref="AC869:AF869"/>
    <mergeCell ref="V934:X934"/>
    <mergeCell ref="Y934:AB934"/>
    <mergeCell ref="AC934:AF934"/>
    <mergeCell ref="V867:X867"/>
    <mergeCell ref="Y867:AB867"/>
    <mergeCell ref="AC867:AF867"/>
    <mergeCell ref="V868:X868"/>
    <mergeCell ref="Y868:AB868"/>
    <mergeCell ref="AC868:AF868"/>
    <mergeCell ref="Y833:AB833"/>
    <mergeCell ref="AC833:AF833"/>
    <mergeCell ref="V834:X834"/>
    <mergeCell ref="Y834:AB834"/>
    <mergeCell ref="AC834:AF834"/>
    <mergeCell ref="V835:X835"/>
    <mergeCell ref="Y835:AB835"/>
    <mergeCell ref="AC835:AF835"/>
    <mergeCell ref="V822:X822"/>
    <mergeCell ref="Y822:AB822"/>
    <mergeCell ref="AC822:AF822"/>
    <mergeCell ref="V823:X823"/>
    <mergeCell ref="Y823:AB823"/>
    <mergeCell ref="AC823:AF823"/>
    <mergeCell ref="V820:X820"/>
    <mergeCell ref="Y820:AB820"/>
    <mergeCell ref="AC820:AF820"/>
    <mergeCell ref="V821:X821"/>
    <mergeCell ref="Y821:AB821"/>
    <mergeCell ref="AC821:AF821"/>
    <mergeCell ref="V818:X818"/>
    <mergeCell ref="Y818:AB818"/>
    <mergeCell ref="AC818:AF818"/>
    <mergeCell ref="V819:X819"/>
    <mergeCell ref="Y819:AB819"/>
    <mergeCell ref="AC819:AF819"/>
    <mergeCell ref="V816:X816"/>
    <mergeCell ref="Y816:AB816"/>
    <mergeCell ref="AC816:AF816"/>
    <mergeCell ref="V817:X817"/>
    <mergeCell ref="Y817:AB817"/>
    <mergeCell ref="AC817:AF817"/>
    <mergeCell ref="V798:X798"/>
    <mergeCell ref="Y798:AB798"/>
    <mergeCell ref="AC798:AF798"/>
    <mergeCell ref="V799:X799"/>
    <mergeCell ref="Y799:AB799"/>
    <mergeCell ref="AC799:AF799"/>
    <mergeCell ref="AC796:AF796"/>
    <mergeCell ref="R795:U795"/>
    <mergeCell ref="R787:U787"/>
    <mergeCell ref="C775:U775"/>
    <mergeCell ref="N781:Q781"/>
    <mergeCell ref="V797:X797"/>
    <mergeCell ref="Y797:AB797"/>
    <mergeCell ref="AC797:AF797"/>
    <mergeCell ref="J781:M781"/>
    <mergeCell ref="AC794:AF794"/>
    <mergeCell ref="AC773:AF773"/>
    <mergeCell ref="R783:U783"/>
    <mergeCell ref="V794:X794"/>
    <mergeCell ref="Y794:AB794"/>
    <mergeCell ref="R784:U784"/>
    <mergeCell ref="R785:U785"/>
    <mergeCell ref="D778:U778"/>
    <mergeCell ref="J784:M784"/>
    <mergeCell ref="N782:Q782"/>
    <mergeCell ref="C793:E794"/>
    <mergeCell ref="V591:X591"/>
    <mergeCell ref="Y591:AB591"/>
    <mergeCell ref="AC591:AF591"/>
    <mergeCell ref="V589:X589"/>
    <mergeCell ref="Y589:AB589"/>
    <mergeCell ref="AC589:AF589"/>
    <mergeCell ref="V590:X590"/>
    <mergeCell ref="Y590:AB590"/>
    <mergeCell ref="AC590:AF590"/>
    <mergeCell ref="V587:X587"/>
    <mergeCell ref="Y587:AB587"/>
    <mergeCell ref="AC587:AF587"/>
    <mergeCell ref="V588:X588"/>
    <mergeCell ref="Y588:AB588"/>
    <mergeCell ref="AC588:AF588"/>
    <mergeCell ref="V581:X581"/>
    <mergeCell ref="Y581:AB581"/>
    <mergeCell ref="AC581:AF581"/>
    <mergeCell ref="V586:X586"/>
    <mergeCell ref="Y586:AB586"/>
    <mergeCell ref="AC586:AF586"/>
    <mergeCell ref="V579:X579"/>
    <mergeCell ref="Y579:AB579"/>
    <mergeCell ref="AC579:AF579"/>
    <mergeCell ref="V580:X580"/>
    <mergeCell ref="Y580:AB580"/>
    <mergeCell ref="AC580:AF580"/>
    <mergeCell ref="V577:X577"/>
    <mergeCell ref="Y577:AB577"/>
    <mergeCell ref="AC577:AF577"/>
    <mergeCell ref="V578:X578"/>
    <mergeCell ref="Y578:AB578"/>
    <mergeCell ref="AC578:AF578"/>
    <mergeCell ref="V570:X570"/>
    <mergeCell ref="Y570:AB570"/>
    <mergeCell ref="AC570:AF570"/>
    <mergeCell ref="V576:X576"/>
    <mergeCell ref="Y576:AB576"/>
    <mergeCell ref="AC576:AF576"/>
    <mergeCell ref="V571:X571"/>
    <mergeCell ref="Y571:AB571"/>
    <mergeCell ref="AC571:AF571"/>
    <mergeCell ref="V563:X563"/>
    <mergeCell ref="Y563:AB563"/>
    <mergeCell ref="AC563:AF563"/>
    <mergeCell ref="V569:X569"/>
    <mergeCell ref="Y569:AB569"/>
    <mergeCell ref="AC569:AF569"/>
    <mergeCell ref="V562:X562"/>
    <mergeCell ref="Y562:AB562"/>
    <mergeCell ref="AC562:AF562"/>
    <mergeCell ref="V561:X561"/>
    <mergeCell ref="Y561:AB561"/>
    <mergeCell ref="AC561:AF561"/>
    <mergeCell ref="Y543:AB543"/>
    <mergeCell ref="AC543:AF543"/>
    <mergeCell ref="V544:X544"/>
    <mergeCell ref="Y544:AB544"/>
    <mergeCell ref="V543:X543"/>
    <mergeCell ref="V545:X545"/>
    <mergeCell ref="Y545:AB545"/>
    <mergeCell ref="V537:X537"/>
    <mergeCell ref="Y537:AB537"/>
    <mergeCell ref="AC537:AF537"/>
    <mergeCell ref="V538:X538"/>
    <mergeCell ref="Y538:AB538"/>
    <mergeCell ref="AC538:AF538"/>
    <mergeCell ref="V535:X535"/>
    <mergeCell ref="Y535:AB535"/>
    <mergeCell ref="AC535:AF535"/>
    <mergeCell ref="V536:X536"/>
    <mergeCell ref="Y536:AB536"/>
    <mergeCell ref="AC536:AF536"/>
    <mergeCell ref="V533:X533"/>
    <mergeCell ref="Y533:AB533"/>
    <mergeCell ref="AC533:AF533"/>
    <mergeCell ref="V534:X534"/>
    <mergeCell ref="Y534:AB534"/>
    <mergeCell ref="AC534:AF534"/>
    <mergeCell ref="V526:X526"/>
    <mergeCell ref="Y526:AB526"/>
    <mergeCell ref="AC526:AF526"/>
    <mergeCell ref="V527:X527"/>
    <mergeCell ref="Y527:AB527"/>
    <mergeCell ref="AC527:AF527"/>
    <mergeCell ref="V525:X525"/>
    <mergeCell ref="Y525:AB525"/>
    <mergeCell ref="AC525:AF525"/>
    <mergeCell ref="V523:X523"/>
    <mergeCell ref="Y523:AB523"/>
    <mergeCell ref="AC523:AF523"/>
    <mergeCell ref="V524:X524"/>
    <mergeCell ref="Y524:AB524"/>
    <mergeCell ref="AC524:AF524"/>
    <mergeCell ref="V488:X488"/>
    <mergeCell ref="Y488:AB488"/>
    <mergeCell ref="AC488:AF488"/>
    <mergeCell ref="V522:X522"/>
    <mergeCell ref="Y522:AB522"/>
    <mergeCell ref="AC522:AF522"/>
    <mergeCell ref="Y494:AB494"/>
    <mergeCell ref="AC494:AF494"/>
    <mergeCell ref="Y495:AB495"/>
    <mergeCell ref="AC495:AF495"/>
    <mergeCell ref="V487:X487"/>
    <mergeCell ref="Y487:AB487"/>
    <mergeCell ref="AC487:AF487"/>
    <mergeCell ref="A544:D544"/>
    <mergeCell ref="E544:I544"/>
    <mergeCell ref="J544:N544"/>
    <mergeCell ref="O544:S544"/>
    <mergeCell ref="T544:U544"/>
    <mergeCell ref="AC544:AF544"/>
    <mergeCell ref="O535:S535"/>
    <mergeCell ref="V485:X485"/>
    <mergeCell ref="Y485:AB485"/>
    <mergeCell ref="AC485:AF485"/>
    <mergeCell ref="V486:X486"/>
    <mergeCell ref="Y486:AB486"/>
    <mergeCell ref="AC486:AF486"/>
    <mergeCell ref="V483:X483"/>
    <mergeCell ref="Y483:AB483"/>
    <mergeCell ref="AC483:AF483"/>
    <mergeCell ref="V484:X484"/>
    <mergeCell ref="Y484:AB484"/>
    <mergeCell ref="AC484:AF484"/>
    <mergeCell ref="V481:X481"/>
    <mergeCell ref="Y481:AB481"/>
    <mergeCell ref="AC481:AF481"/>
    <mergeCell ref="V482:X482"/>
    <mergeCell ref="Y482:AB482"/>
    <mergeCell ref="AC482:AF482"/>
    <mergeCell ref="V479:X479"/>
    <mergeCell ref="Y479:AB479"/>
    <mergeCell ref="AC479:AF479"/>
    <mergeCell ref="V456:X456"/>
    <mergeCell ref="Y455:AB455"/>
    <mergeCell ref="V480:X480"/>
    <mergeCell ref="Y480:AB480"/>
    <mergeCell ref="AC480:AF480"/>
    <mergeCell ref="V478:X478"/>
    <mergeCell ref="Y478:AB478"/>
    <mergeCell ref="AC478:AF478"/>
    <mergeCell ref="V453:X453"/>
    <mergeCell ref="Y453:AB453"/>
    <mergeCell ref="AC453:AF453"/>
    <mergeCell ref="V454:X454"/>
    <mergeCell ref="Y454:AB454"/>
    <mergeCell ref="AC454:AF454"/>
    <mergeCell ref="Y464:AB464"/>
    <mergeCell ref="Y465:AB465"/>
    <mergeCell ref="AC465:AF465"/>
    <mergeCell ref="V429:X429"/>
    <mergeCell ref="Y429:AB429"/>
    <mergeCell ref="AC429:AF429"/>
    <mergeCell ref="AC430:AF430"/>
    <mergeCell ref="V431:X431"/>
    <mergeCell ref="Y431:AB431"/>
    <mergeCell ref="AC431:AF431"/>
    <mergeCell ref="Y430:AB430"/>
    <mergeCell ref="V427:X427"/>
    <mergeCell ref="Y427:AB427"/>
    <mergeCell ref="AC427:AF427"/>
    <mergeCell ref="V428:X428"/>
    <mergeCell ref="Y428:AB428"/>
    <mergeCell ref="AC428:AF428"/>
    <mergeCell ref="V425:X425"/>
    <mergeCell ref="Y425:AB425"/>
    <mergeCell ref="AC425:AF425"/>
    <mergeCell ref="V426:X426"/>
    <mergeCell ref="Y426:AB426"/>
    <mergeCell ref="AC426:AF426"/>
    <mergeCell ref="V423:X423"/>
    <mergeCell ref="Y423:AB423"/>
    <mergeCell ref="AC423:AF423"/>
    <mergeCell ref="V424:X424"/>
    <mergeCell ref="Y424:AB424"/>
    <mergeCell ref="AC424:AF424"/>
    <mergeCell ref="V421:X421"/>
    <mergeCell ref="Y421:AB421"/>
    <mergeCell ref="AC421:AF421"/>
    <mergeCell ref="V422:X422"/>
    <mergeCell ref="Y422:AB422"/>
    <mergeCell ref="AC422:AF422"/>
    <mergeCell ref="V419:X419"/>
    <mergeCell ref="Y419:AB419"/>
    <mergeCell ref="AC419:AF419"/>
    <mergeCell ref="V420:X420"/>
    <mergeCell ref="Y420:AB420"/>
    <mergeCell ref="AC420:AF420"/>
    <mergeCell ref="V417:X417"/>
    <mergeCell ref="Y417:AB417"/>
    <mergeCell ref="AC417:AF417"/>
    <mergeCell ref="V418:X418"/>
    <mergeCell ref="Y418:AB418"/>
    <mergeCell ref="AC418:AF418"/>
    <mergeCell ref="V415:X415"/>
    <mergeCell ref="Y415:AB415"/>
    <mergeCell ref="AC415:AF415"/>
    <mergeCell ref="V416:X416"/>
    <mergeCell ref="Y416:AB416"/>
    <mergeCell ref="AC416:AF416"/>
    <mergeCell ref="Y412:AB412"/>
    <mergeCell ref="AC412:AF412"/>
    <mergeCell ref="V413:X413"/>
    <mergeCell ref="Y413:AB413"/>
    <mergeCell ref="AC413:AF413"/>
    <mergeCell ref="Y414:AB414"/>
    <mergeCell ref="AC414:AF414"/>
    <mergeCell ref="V412:X412"/>
    <mergeCell ref="AC455:AF455"/>
    <mergeCell ref="AC456:AF456"/>
    <mergeCell ref="V451:X451"/>
    <mergeCell ref="Y451:AB451"/>
    <mergeCell ref="AC451:AF451"/>
    <mergeCell ref="V452:X452"/>
    <mergeCell ref="Y452:AB452"/>
    <mergeCell ref="AC452:AF452"/>
    <mergeCell ref="T420:U420"/>
    <mergeCell ref="V445:AM445"/>
    <mergeCell ref="V463:X463"/>
    <mergeCell ref="Y463:AB463"/>
    <mergeCell ref="AC463:AF463"/>
    <mergeCell ref="V464:X464"/>
    <mergeCell ref="AC464:AF464"/>
    <mergeCell ref="V455:X455"/>
    <mergeCell ref="Y450:AB450"/>
    <mergeCell ref="Y456:AB456"/>
    <mergeCell ref="V449:X449"/>
    <mergeCell ref="T235:U235"/>
    <mergeCell ref="O238:S238"/>
    <mergeCell ref="T238:U238"/>
    <mergeCell ref="V410:X410"/>
    <mergeCell ref="AC466:AF466"/>
    <mergeCell ref="AC449:AF449"/>
    <mergeCell ref="V450:X450"/>
    <mergeCell ref="E336:U336"/>
    <mergeCell ref="T429:U429"/>
    <mergeCell ref="O235:S235"/>
    <mergeCell ref="Y410:AB410"/>
    <mergeCell ref="V411:X411"/>
    <mergeCell ref="Y411:AB411"/>
    <mergeCell ref="V466:X466"/>
    <mergeCell ref="Y466:AB466"/>
    <mergeCell ref="Y449:AB449"/>
    <mergeCell ref="V430:X430"/>
    <mergeCell ref="V414:X414"/>
    <mergeCell ref="V465:X465"/>
    <mergeCell ref="A236:C236"/>
    <mergeCell ref="A237:C237"/>
    <mergeCell ref="A238:C238"/>
    <mergeCell ref="D235:I235"/>
    <mergeCell ref="D236:I236"/>
    <mergeCell ref="J235:N235"/>
    <mergeCell ref="J236:N236"/>
    <mergeCell ref="J238:N238"/>
    <mergeCell ref="L997:N997"/>
    <mergeCell ref="B870:U870"/>
    <mergeCell ref="B996:E996"/>
    <mergeCell ref="C851:O851"/>
    <mergeCell ref="C852:O852"/>
    <mergeCell ref="C853:O853"/>
    <mergeCell ref="C854:O854"/>
    <mergeCell ref="C855:O855"/>
    <mergeCell ref="C856:O856"/>
    <mergeCell ref="R996:U996"/>
    <mergeCell ref="C990:U990"/>
    <mergeCell ref="S818:U818"/>
    <mergeCell ref="C849:O849"/>
    <mergeCell ref="B972:E972"/>
    <mergeCell ref="F972:H972"/>
    <mergeCell ref="F996:K996"/>
    <mergeCell ref="O868:Q868"/>
    <mergeCell ref="L984:N984"/>
    <mergeCell ref="O984:Q984"/>
    <mergeCell ref="F874:K874"/>
    <mergeCell ref="A1563:H1563"/>
    <mergeCell ref="C1217:U1217"/>
    <mergeCell ref="C1208:U1208"/>
    <mergeCell ref="R1151:U1151"/>
    <mergeCell ref="C1219:U1219"/>
    <mergeCell ref="B1168:U1168"/>
    <mergeCell ref="P1544:U1544"/>
    <mergeCell ref="P1537:U1537"/>
    <mergeCell ref="P1538:U1538"/>
    <mergeCell ref="P1533:U1533"/>
    <mergeCell ref="P1555:U1555"/>
    <mergeCell ref="P1557:U1557"/>
    <mergeCell ref="P1546:U1546"/>
    <mergeCell ref="E1554:O1554"/>
    <mergeCell ref="P1556:U1556"/>
    <mergeCell ref="P1552:U1552"/>
    <mergeCell ref="L1913:R1913"/>
    <mergeCell ref="D1914:K1914"/>
    <mergeCell ref="A137:U137"/>
    <mergeCell ref="D1026:P1026"/>
    <mergeCell ref="D1027:P1027"/>
    <mergeCell ref="D1028:P1028"/>
    <mergeCell ref="D1029:P1029"/>
    <mergeCell ref="D1910:R1910"/>
    <mergeCell ref="P1545:U1545"/>
    <mergeCell ref="P1554:U1554"/>
    <mergeCell ref="D1865:R1865"/>
    <mergeCell ref="D1863:U1863"/>
    <mergeCell ref="L1855:R1855"/>
    <mergeCell ref="L1866:R1866"/>
    <mergeCell ref="D1915:U1915"/>
    <mergeCell ref="D1855:K1855"/>
    <mergeCell ref="D1878:R1878"/>
    <mergeCell ref="L1856:R1856"/>
    <mergeCell ref="D1908:U1908"/>
    <mergeCell ref="D1911:K1911"/>
    <mergeCell ref="L1912:R1912"/>
    <mergeCell ref="C1928:U1928"/>
    <mergeCell ref="L1914:R1914"/>
    <mergeCell ref="C1917:U1917"/>
    <mergeCell ref="C1920:U1920"/>
    <mergeCell ref="C1922:U1922"/>
    <mergeCell ref="D1921:U1921"/>
    <mergeCell ref="D1923:U1923"/>
    <mergeCell ref="C1926:U1926"/>
    <mergeCell ref="D1913:K1913"/>
    <mergeCell ref="P1585:U1585"/>
    <mergeCell ref="P1586:U1586"/>
    <mergeCell ref="P1791:U1791"/>
    <mergeCell ref="D1840:U1840"/>
    <mergeCell ref="P1804:U1804"/>
    <mergeCell ref="D1614:O1614"/>
    <mergeCell ref="P1788:U1788"/>
    <mergeCell ref="P1786:U1786"/>
    <mergeCell ref="P1821:U1821"/>
    <mergeCell ref="P1587:U1587"/>
    <mergeCell ref="L1911:R1911"/>
    <mergeCell ref="D1912:K1912"/>
    <mergeCell ref="C1938:U1938"/>
    <mergeCell ref="C1935:U1935"/>
    <mergeCell ref="C1929:U1929"/>
    <mergeCell ref="D1560:U1560"/>
    <mergeCell ref="I1564:N1564"/>
    <mergeCell ref="I1565:N1565"/>
    <mergeCell ref="I1566:N1566"/>
    <mergeCell ref="E1570:O1570"/>
    <mergeCell ref="D1909:U1909"/>
    <mergeCell ref="I1563:N1563"/>
    <mergeCell ref="P1577:U1577"/>
    <mergeCell ref="P1571:U1571"/>
    <mergeCell ref="P1572:U1572"/>
    <mergeCell ref="P1581:U1581"/>
    <mergeCell ref="O1566:U1566"/>
    <mergeCell ref="P1576:U1576"/>
    <mergeCell ref="P1573:U1573"/>
    <mergeCell ref="P1584:U1584"/>
    <mergeCell ref="O1563:U1563"/>
    <mergeCell ref="P1582:U1582"/>
    <mergeCell ref="P1583:U1583"/>
    <mergeCell ref="P1580:U1580"/>
    <mergeCell ref="E1553:O1553"/>
    <mergeCell ref="P1578:U1578"/>
    <mergeCell ref="P1570:U1570"/>
    <mergeCell ref="D1561:U1561"/>
    <mergeCell ref="O1567:U1567"/>
    <mergeCell ref="P1579:U1579"/>
    <mergeCell ref="A1567:H1567"/>
    <mergeCell ref="O1565:U1565"/>
    <mergeCell ref="P1547:U1547"/>
    <mergeCell ref="P1548:U1548"/>
    <mergeCell ref="P1549:U1549"/>
    <mergeCell ref="P1550:U1550"/>
    <mergeCell ref="P1553:U1553"/>
    <mergeCell ref="O1564:U1564"/>
    <mergeCell ref="D1557:O1557"/>
    <mergeCell ref="I1567:N1567"/>
    <mergeCell ref="E1510:O1510"/>
    <mergeCell ref="P1526:U1526"/>
    <mergeCell ref="P1513:U1513"/>
    <mergeCell ref="P1543:U1543"/>
    <mergeCell ref="P1539:U1539"/>
    <mergeCell ref="P1542:U1542"/>
    <mergeCell ref="P1540:U1540"/>
    <mergeCell ref="P1541:U1541"/>
    <mergeCell ref="P1516:U1516"/>
    <mergeCell ref="P1532:U1532"/>
    <mergeCell ref="P1517:U1517"/>
    <mergeCell ref="P1519:U1519"/>
    <mergeCell ref="P1529:U1529"/>
    <mergeCell ref="P1530:U1530"/>
    <mergeCell ref="P1531:U1531"/>
    <mergeCell ref="P1524:U1524"/>
    <mergeCell ref="P1525:U1525"/>
    <mergeCell ref="P1522:U1522"/>
    <mergeCell ref="P1518:U1518"/>
    <mergeCell ref="I1505:N1505"/>
    <mergeCell ref="P1534:U1534"/>
    <mergeCell ref="P1535:U1535"/>
    <mergeCell ref="P1536:U1536"/>
    <mergeCell ref="P1523:U1523"/>
    <mergeCell ref="P1528:U1528"/>
    <mergeCell ref="P1514:U1514"/>
    <mergeCell ref="P1515:U1515"/>
    <mergeCell ref="P1527:U1527"/>
    <mergeCell ref="P1521:U1521"/>
    <mergeCell ref="E1497:M1497"/>
    <mergeCell ref="D1500:U1500"/>
    <mergeCell ref="P1481:U1481"/>
    <mergeCell ref="P1482:U1482"/>
    <mergeCell ref="P1483:U1483"/>
    <mergeCell ref="I1503:N1503"/>
    <mergeCell ref="D1493:O1493"/>
    <mergeCell ref="P1484:U1484"/>
    <mergeCell ref="P1485:U1485"/>
    <mergeCell ref="A1503:H1503"/>
    <mergeCell ref="A1504:H1504"/>
    <mergeCell ref="P1489:U1489"/>
    <mergeCell ref="O1498:U1498"/>
    <mergeCell ref="E1495:M1495"/>
    <mergeCell ref="O1499:U1499"/>
    <mergeCell ref="P1472:U1472"/>
    <mergeCell ref="P1473:U1473"/>
    <mergeCell ref="P1477:U1477"/>
    <mergeCell ref="E1498:M1498"/>
    <mergeCell ref="P1492:U1492"/>
    <mergeCell ref="A1505:H1505"/>
    <mergeCell ref="D1508:U1508"/>
    <mergeCell ref="E1513:O1513"/>
    <mergeCell ref="P1509:U1509"/>
    <mergeCell ref="P1510:U1510"/>
    <mergeCell ref="P1480:U1480"/>
    <mergeCell ref="I1504:N1504"/>
    <mergeCell ref="O1497:U1497"/>
    <mergeCell ref="O1495:U1495"/>
    <mergeCell ref="P1491:U1491"/>
    <mergeCell ref="P1471:U1471"/>
    <mergeCell ref="P1474:U1474"/>
    <mergeCell ref="O1496:U1496"/>
    <mergeCell ref="P1493:U1493"/>
    <mergeCell ref="D1494:U1494"/>
    <mergeCell ref="P1475:U1475"/>
    <mergeCell ref="P1486:U1486"/>
    <mergeCell ref="P1487:U1487"/>
    <mergeCell ref="P1488:U1488"/>
    <mergeCell ref="P1479:U1479"/>
    <mergeCell ref="P1476:U1476"/>
    <mergeCell ref="P1478:U1478"/>
    <mergeCell ref="P1470:U1470"/>
    <mergeCell ref="P1465:U1465"/>
    <mergeCell ref="P1459:U1459"/>
    <mergeCell ref="P1460:U1460"/>
    <mergeCell ref="P1461:U1461"/>
    <mergeCell ref="P1469:U1469"/>
    <mergeCell ref="P1468:U1468"/>
    <mergeCell ref="P1467:U1467"/>
    <mergeCell ref="P1463:U1463"/>
    <mergeCell ref="P1466:U1466"/>
    <mergeCell ref="J1411:O1411"/>
    <mergeCell ref="P1457:U1457"/>
    <mergeCell ref="P1458:U1458"/>
    <mergeCell ref="C1259:I1259"/>
    <mergeCell ref="O1376:Q1376"/>
    <mergeCell ref="P1417:U1417"/>
    <mergeCell ref="P1449:U1449"/>
    <mergeCell ref="P1445:U1445"/>
    <mergeCell ref="P1454:U1454"/>
    <mergeCell ref="P1455:U1455"/>
    <mergeCell ref="P1435:U1435"/>
    <mergeCell ref="P1464:U1464"/>
    <mergeCell ref="P1462:U1462"/>
    <mergeCell ref="P1456:U1456"/>
    <mergeCell ref="P1447:U1447"/>
    <mergeCell ref="P1448:U1448"/>
    <mergeCell ref="P1452:U1452"/>
    <mergeCell ref="P1453:U1453"/>
    <mergeCell ref="C1220:U1220"/>
    <mergeCell ref="O1224:Q1224"/>
    <mergeCell ref="F1224:H1224"/>
    <mergeCell ref="D1043:P1043"/>
    <mergeCell ref="C1163:U1163"/>
    <mergeCell ref="F1166:H1166"/>
    <mergeCell ref="I1166:K1166"/>
    <mergeCell ref="C1112:O1112"/>
    <mergeCell ref="C1115:O1115"/>
    <mergeCell ref="C1116:O1116"/>
    <mergeCell ref="L868:N868"/>
    <mergeCell ref="L996:Q996"/>
    <mergeCell ref="C888:U888"/>
    <mergeCell ref="B874:E874"/>
    <mergeCell ref="C994:U994"/>
    <mergeCell ref="R875:U875"/>
    <mergeCell ref="B869:U869"/>
    <mergeCell ref="F876:H876"/>
    <mergeCell ref="I876:K876"/>
    <mergeCell ref="B875:E875"/>
    <mergeCell ref="L866:Q866"/>
    <mergeCell ref="F866:K866"/>
    <mergeCell ref="C664:U664"/>
    <mergeCell ref="B867:E867"/>
    <mergeCell ref="F867:H867"/>
    <mergeCell ref="L867:N867"/>
    <mergeCell ref="C857:O857"/>
    <mergeCell ref="N822:R822"/>
    <mergeCell ref="N823:R823"/>
    <mergeCell ref="S817:U817"/>
    <mergeCell ref="R868:U868"/>
    <mergeCell ref="O867:Q867"/>
    <mergeCell ref="B868:E868"/>
    <mergeCell ref="C845:O845"/>
    <mergeCell ref="B834:E834"/>
    <mergeCell ref="F834:H834"/>
    <mergeCell ref="R835:U835"/>
    <mergeCell ref="R866:U866"/>
    <mergeCell ref="I868:K868"/>
    <mergeCell ref="C858:O858"/>
    <mergeCell ref="I835:K835"/>
    <mergeCell ref="L835:N835"/>
    <mergeCell ref="F868:H868"/>
    <mergeCell ref="O835:Q835"/>
    <mergeCell ref="J660:N660"/>
    <mergeCell ref="O660:S660"/>
    <mergeCell ref="N785:Q785"/>
    <mergeCell ref="J661:N661"/>
    <mergeCell ref="F681:I681"/>
    <mergeCell ref="C843:U843"/>
    <mergeCell ref="B661:I661"/>
    <mergeCell ref="C838:U838"/>
    <mergeCell ref="O661:S661"/>
    <mergeCell ref="R834:U834"/>
    <mergeCell ref="C616:D616"/>
    <mergeCell ref="C618:D618"/>
    <mergeCell ref="O630:S630"/>
    <mergeCell ref="O631:S631"/>
    <mergeCell ref="E616:K616"/>
    <mergeCell ref="C630:I630"/>
    <mergeCell ref="E620:K620"/>
    <mergeCell ref="B641:I641"/>
    <mergeCell ref="N609:S609"/>
    <mergeCell ref="B585:U585"/>
    <mergeCell ref="J586:N586"/>
    <mergeCell ref="D579:I579"/>
    <mergeCell ref="O639:S639"/>
    <mergeCell ref="C615:U615"/>
    <mergeCell ref="O632:S632"/>
    <mergeCell ref="D635:U635"/>
    <mergeCell ref="A555:D555"/>
    <mergeCell ref="E555:I555"/>
    <mergeCell ref="J555:N555"/>
    <mergeCell ref="I609:M609"/>
    <mergeCell ref="B605:H605"/>
    <mergeCell ref="I605:M605"/>
    <mergeCell ref="A562:D562"/>
    <mergeCell ref="E561:I561"/>
    <mergeCell ref="A589:D589"/>
    <mergeCell ref="B609:H609"/>
    <mergeCell ref="O561:S561"/>
    <mergeCell ref="T561:U561"/>
    <mergeCell ref="T660:U660"/>
    <mergeCell ref="N607:S607"/>
    <mergeCell ref="N608:S608"/>
    <mergeCell ref="T608:U608"/>
    <mergeCell ref="T609:U609"/>
    <mergeCell ref="Q650:U650"/>
    <mergeCell ref="E536:I536"/>
    <mergeCell ref="J536:N536"/>
    <mergeCell ref="B606:H606"/>
    <mergeCell ref="B607:H607"/>
    <mergeCell ref="B608:H608"/>
    <mergeCell ref="O600:S600"/>
    <mergeCell ref="T571:U571"/>
    <mergeCell ref="J578:N578"/>
    <mergeCell ref="O569:S569"/>
    <mergeCell ref="J561:N561"/>
    <mergeCell ref="J562:N562"/>
    <mergeCell ref="E557:U557"/>
    <mergeCell ref="E540:U540"/>
    <mergeCell ref="E543:I543"/>
    <mergeCell ref="J543:N543"/>
    <mergeCell ref="O543:S543"/>
    <mergeCell ref="T543:U543"/>
    <mergeCell ref="J553:N553"/>
    <mergeCell ref="O547:S547"/>
    <mergeCell ref="T545:U545"/>
    <mergeCell ref="E550:U550"/>
    <mergeCell ref="E545:I545"/>
    <mergeCell ref="J545:N545"/>
    <mergeCell ref="E549:U549"/>
    <mergeCell ref="T547:U547"/>
    <mergeCell ref="T534:U534"/>
    <mergeCell ref="A537:D537"/>
    <mergeCell ref="T536:U536"/>
    <mergeCell ref="A536:D536"/>
    <mergeCell ref="E541:U541"/>
    <mergeCell ref="A543:D543"/>
    <mergeCell ref="T535:U535"/>
    <mergeCell ref="O536:S536"/>
    <mergeCell ref="T537:U537"/>
    <mergeCell ref="T533:U533"/>
    <mergeCell ref="E530:U530"/>
    <mergeCell ref="A527:D527"/>
    <mergeCell ref="E527:I527"/>
    <mergeCell ref="E531:U531"/>
    <mergeCell ref="E563:I563"/>
    <mergeCell ref="A553:D553"/>
    <mergeCell ref="E553:I553"/>
    <mergeCell ref="E562:I562"/>
    <mergeCell ref="A554:D554"/>
    <mergeCell ref="O563:S563"/>
    <mergeCell ref="T562:U562"/>
    <mergeCell ref="E537:I537"/>
    <mergeCell ref="J537:N537"/>
    <mergeCell ref="O537:S537"/>
    <mergeCell ref="E559:U559"/>
    <mergeCell ref="O554:S554"/>
    <mergeCell ref="T554:U554"/>
    <mergeCell ref="E554:I554"/>
    <mergeCell ref="O545:S545"/>
    <mergeCell ref="T659:U659"/>
    <mergeCell ref="O659:S659"/>
    <mergeCell ref="C611:U611"/>
    <mergeCell ref="D624:T624"/>
    <mergeCell ref="E618:K618"/>
    <mergeCell ref="B639:I639"/>
    <mergeCell ref="J642:N642"/>
    <mergeCell ref="L650:P650"/>
    <mergeCell ref="B658:I658"/>
    <mergeCell ref="O641:S641"/>
    <mergeCell ref="E586:I586"/>
    <mergeCell ref="J581:N581"/>
    <mergeCell ref="D581:I581"/>
    <mergeCell ref="A581:C581"/>
    <mergeCell ref="T606:U606"/>
    <mergeCell ref="T607:U607"/>
    <mergeCell ref="T596:U596"/>
    <mergeCell ref="T605:U605"/>
    <mergeCell ref="N605:S605"/>
    <mergeCell ref="A535:D535"/>
    <mergeCell ref="J534:N534"/>
    <mergeCell ref="T527:U527"/>
    <mergeCell ref="A533:D533"/>
    <mergeCell ref="E533:I533"/>
    <mergeCell ref="J533:N533"/>
    <mergeCell ref="A534:D534"/>
    <mergeCell ref="E534:I534"/>
    <mergeCell ref="O527:S527"/>
    <mergeCell ref="O533:S533"/>
    <mergeCell ref="O421:S421"/>
    <mergeCell ref="O451:S451"/>
    <mergeCell ref="T451:U451"/>
    <mergeCell ref="A425:D425"/>
    <mergeCell ref="O428:S428"/>
    <mergeCell ref="T425:U425"/>
    <mergeCell ref="J430:N430"/>
    <mergeCell ref="J450:N450"/>
    <mergeCell ref="A429:D429"/>
    <mergeCell ref="A430:D430"/>
    <mergeCell ref="T423:U423"/>
    <mergeCell ref="A450:D450"/>
    <mergeCell ref="O424:S424"/>
    <mergeCell ref="E478:I478"/>
    <mergeCell ref="O450:S450"/>
    <mergeCell ref="E428:I428"/>
    <mergeCell ref="E429:I429"/>
    <mergeCell ref="E430:I430"/>
    <mergeCell ref="D434:U434"/>
    <mergeCell ref="D441:U441"/>
    <mergeCell ref="O423:S423"/>
    <mergeCell ref="J402:N402"/>
    <mergeCell ref="J399:N399"/>
    <mergeCell ref="O401:S401"/>
    <mergeCell ref="O399:S399"/>
    <mergeCell ref="J400:N400"/>
    <mergeCell ref="J420:N420"/>
    <mergeCell ref="J423:N423"/>
    <mergeCell ref="J414:N414"/>
    <mergeCell ref="O422:S422"/>
    <mergeCell ref="O420:S420"/>
    <mergeCell ref="O414:S414"/>
    <mergeCell ref="T415:U415"/>
    <mergeCell ref="J422:N422"/>
    <mergeCell ref="O418:S418"/>
    <mergeCell ref="O400:S400"/>
    <mergeCell ref="T401:U401"/>
    <mergeCell ref="T421:U421"/>
    <mergeCell ref="T422:U422"/>
    <mergeCell ref="T418:U418"/>
    <mergeCell ref="J416:N416"/>
    <mergeCell ref="T413:U413"/>
    <mergeCell ref="T419:U419"/>
    <mergeCell ref="D404:U404"/>
    <mergeCell ref="A416:D416"/>
    <mergeCell ref="A412:D412"/>
    <mergeCell ref="A414:D414"/>
    <mergeCell ref="A488:D488"/>
    <mergeCell ref="A451:D451"/>
    <mergeCell ref="A452:D452"/>
    <mergeCell ref="A453:D453"/>
    <mergeCell ref="A454:D454"/>
    <mergeCell ref="J415:N415"/>
    <mergeCell ref="J424:N424"/>
    <mergeCell ref="A465:D465"/>
    <mergeCell ref="E456:I456"/>
    <mergeCell ref="E475:U475"/>
    <mergeCell ref="A245:C245"/>
    <mergeCell ref="A246:C246"/>
    <mergeCell ref="J243:N243"/>
    <mergeCell ref="J244:N244"/>
    <mergeCell ref="J245:N245"/>
    <mergeCell ref="D242:I242"/>
    <mergeCell ref="J242:N242"/>
    <mergeCell ref="D243:I243"/>
    <mergeCell ref="A240:C240"/>
    <mergeCell ref="A241:C241"/>
    <mergeCell ref="T247:U247"/>
    <mergeCell ref="O234:S234"/>
    <mergeCell ref="O239:S239"/>
    <mergeCell ref="O240:S240"/>
    <mergeCell ref="O241:S241"/>
    <mergeCell ref="A242:C242"/>
    <mergeCell ref="A243:C243"/>
    <mergeCell ref="A244:C244"/>
    <mergeCell ref="Y236:AB236"/>
    <mergeCell ref="O243:S243"/>
    <mergeCell ref="O244:S244"/>
    <mergeCell ref="O245:S245"/>
    <mergeCell ref="O236:S236"/>
    <mergeCell ref="T236:U236"/>
    <mergeCell ref="O237:S237"/>
    <mergeCell ref="T237:U237"/>
    <mergeCell ref="T243:U243"/>
    <mergeCell ref="V243:X243"/>
    <mergeCell ref="V229:AM229"/>
    <mergeCell ref="D177:U177"/>
    <mergeCell ref="D178:U178"/>
    <mergeCell ref="D179:U179"/>
    <mergeCell ref="D180:U180"/>
    <mergeCell ref="E167:J167"/>
    <mergeCell ref="D174:U174"/>
    <mergeCell ref="V173:AL173"/>
    <mergeCell ref="C225:U225"/>
    <mergeCell ref="K167:O167"/>
    <mergeCell ref="E166:J166"/>
    <mergeCell ref="K166:O166"/>
    <mergeCell ref="T164:U164"/>
    <mergeCell ref="D172:U172"/>
    <mergeCell ref="D173:U173"/>
    <mergeCell ref="T166:U166"/>
    <mergeCell ref="T167:U167"/>
    <mergeCell ref="A235:C235"/>
    <mergeCell ref="E163:J163"/>
    <mergeCell ref="E164:J164"/>
    <mergeCell ref="K164:O164"/>
    <mergeCell ref="E165:J165"/>
    <mergeCell ref="A223:T223"/>
    <mergeCell ref="T165:U165"/>
    <mergeCell ref="P163:S163"/>
    <mergeCell ref="K165:O165"/>
    <mergeCell ref="C226:U226"/>
    <mergeCell ref="A494:D494"/>
    <mergeCell ref="J481:N481"/>
    <mergeCell ref="O481:S481"/>
    <mergeCell ref="T488:U488"/>
    <mergeCell ref="A138:D138"/>
    <mergeCell ref="E142:J142"/>
    <mergeCell ref="P143:S143"/>
    <mergeCell ref="T141:U141"/>
    <mergeCell ref="K141:O141"/>
    <mergeCell ref="A402:D402"/>
    <mergeCell ref="V135:AM135"/>
    <mergeCell ref="V171:AL171"/>
    <mergeCell ref="V172:AL172"/>
    <mergeCell ref="D155:U155"/>
    <mergeCell ref="D153:U153"/>
    <mergeCell ref="D154:U154"/>
    <mergeCell ref="K142:O142"/>
    <mergeCell ref="T140:U140"/>
    <mergeCell ref="P146:S146"/>
    <mergeCell ref="D159:U159"/>
    <mergeCell ref="F472:U472"/>
    <mergeCell ref="F468:U468"/>
    <mergeCell ref="A431:D431"/>
    <mergeCell ref="E451:I451"/>
    <mergeCell ref="A463:D463"/>
    <mergeCell ref="A464:D464"/>
    <mergeCell ref="O456:S456"/>
    <mergeCell ref="J456:N456"/>
    <mergeCell ref="D435:U435"/>
    <mergeCell ref="D436:U436"/>
    <mergeCell ref="A522:D522"/>
    <mergeCell ref="E491:U491"/>
    <mergeCell ref="E486:I486"/>
    <mergeCell ref="O464:S464"/>
    <mergeCell ref="T464:U464"/>
    <mergeCell ref="T465:U465"/>
    <mergeCell ref="J465:N465"/>
    <mergeCell ref="O465:S465"/>
    <mergeCell ref="F469:U469"/>
    <mergeCell ref="T478:U478"/>
    <mergeCell ref="E574:U574"/>
    <mergeCell ref="E490:U490"/>
    <mergeCell ref="E494:I494"/>
    <mergeCell ref="J494:N494"/>
    <mergeCell ref="O523:S523"/>
    <mergeCell ref="T522:U522"/>
    <mergeCell ref="E492:U492"/>
    <mergeCell ref="J563:N563"/>
    <mergeCell ref="E551:U551"/>
    <mergeCell ref="E558:U558"/>
    <mergeCell ref="O658:S658"/>
    <mergeCell ref="J639:N639"/>
    <mergeCell ref="J670:N670"/>
    <mergeCell ref="E589:I589"/>
    <mergeCell ref="O534:S534"/>
    <mergeCell ref="J535:N535"/>
    <mergeCell ref="O580:S580"/>
    <mergeCell ref="D580:I580"/>
    <mergeCell ref="A586:D586"/>
    <mergeCell ref="J587:N587"/>
    <mergeCell ref="A1130:A1131"/>
    <mergeCell ref="A945:A946"/>
    <mergeCell ref="J658:N658"/>
    <mergeCell ref="J659:N659"/>
    <mergeCell ref="I608:M608"/>
    <mergeCell ref="J627:N627"/>
    <mergeCell ref="J630:N630"/>
    <mergeCell ref="C627:I627"/>
    <mergeCell ref="B632:I632"/>
    <mergeCell ref="B652:K652"/>
    <mergeCell ref="A933:A934"/>
    <mergeCell ref="C964:U964"/>
    <mergeCell ref="O875:Q875"/>
    <mergeCell ref="F875:H875"/>
    <mergeCell ref="I875:K875"/>
    <mergeCell ref="A523:D523"/>
    <mergeCell ref="J523:N523"/>
    <mergeCell ref="J597:N597"/>
    <mergeCell ref="J524:N524"/>
    <mergeCell ref="O524:S524"/>
    <mergeCell ref="R985:U985"/>
    <mergeCell ref="L972:N972"/>
    <mergeCell ref="L874:Q874"/>
    <mergeCell ref="I972:K972"/>
    <mergeCell ref="L875:N875"/>
    <mergeCell ref="C886:U886"/>
    <mergeCell ref="A818:H818"/>
    <mergeCell ref="P845:U845"/>
    <mergeCell ref="C837:U837"/>
    <mergeCell ref="I834:K834"/>
    <mergeCell ref="A1150:A1151"/>
    <mergeCell ref="C1221:U1221"/>
    <mergeCell ref="F835:H835"/>
    <mergeCell ref="L834:N834"/>
    <mergeCell ref="O834:Q834"/>
    <mergeCell ref="F984:H984"/>
    <mergeCell ref="I821:M821"/>
    <mergeCell ref="N820:R820"/>
    <mergeCell ref="C828:U828"/>
    <mergeCell ref="S822:U822"/>
    <mergeCell ref="I819:M819"/>
    <mergeCell ref="I820:M820"/>
    <mergeCell ref="A823:H823"/>
    <mergeCell ref="A659:A660"/>
    <mergeCell ref="T661:U661"/>
    <mergeCell ref="A1165:A1166"/>
    <mergeCell ref="A1183:A1184"/>
    <mergeCell ref="B997:E997"/>
    <mergeCell ref="O997:Q997"/>
    <mergeCell ref="R983:U983"/>
    <mergeCell ref="B984:E984"/>
    <mergeCell ref="B825:U825"/>
    <mergeCell ref="A817:H817"/>
    <mergeCell ref="D645:U645"/>
    <mergeCell ref="D646:U646"/>
    <mergeCell ref="B642:I642"/>
    <mergeCell ref="T642:U642"/>
    <mergeCell ref="D644:U644"/>
    <mergeCell ref="A443:A445"/>
    <mergeCell ref="C602:U602"/>
    <mergeCell ref="A525:D525"/>
    <mergeCell ref="A466:D466"/>
    <mergeCell ref="E523:I523"/>
    <mergeCell ref="E396:I396"/>
    <mergeCell ref="E397:I397"/>
    <mergeCell ref="A424:D424"/>
    <mergeCell ref="J464:N464"/>
    <mergeCell ref="E460:U460"/>
    <mergeCell ref="T463:U463"/>
    <mergeCell ref="O463:S463"/>
    <mergeCell ref="E463:I463"/>
    <mergeCell ref="B437:U437"/>
    <mergeCell ref="B448:U448"/>
    <mergeCell ref="B1338:E1338"/>
    <mergeCell ref="B1373:E1373"/>
    <mergeCell ref="F1374:H1374"/>
    <mergeCell ref="D1241:P1241"/>
    <mergeCell ref="B653:K653"/>
    <mergeCell ref="J1258:M1258"/>
    <mergeCell ref="B1257:U1257"/>
    <mergeCell ref="O985:Q985"/>
    <mergeCell ref="L832:Q832"/>
    <mergeCell ref="B832:E832"/>
    <mergeCell ref="D1235:P1235"/>
    <mergeCell ref="C987:U987"/>
    <mergeCell ref="D1033:P1033"/>
    <mergeCell ref="D1034:P1034"/>
    <mergeCell ref="I997:K997"/>
    <mergeCell ref="C1161:U1161"/>
    <mergeCell ref="C1154:U1154"/>
    <mergeCell ref="D1233:P1233"/>
    <mergeCell ref="R997:U997"/>
    <mergeCell ref="B1165:E1165"/>
    <mergeCell ref="B986:U986"/>
    <mergeCell ref="C993:U993"/>
    <mergeCell ref="L1375:N1375"/>
    <mergeCell ref="O1375:Q1375"/>
    <mergeCell ref="P859:U859"/>
    <mergeCell ref="R1373:U1373"/>
    <mergeCell ref="C1371:U1371"/>
    <mergeCell ref="O1374:Q1374"/>
    <mergeCell ref="R1374:U1374"/>
    <mergeCell ref="D1236:P1236"/>
    <mergeCell ref="A1248:A1250"/>
    <mergeCell ref="R1165:U1165"/>
    <mergeCell ref="B1166:E1166"/>
    <mergeCell ref="S1398:U1398"/>
    <mergeCell ref="R1261:U1261"/>
    <mergeCell ref="C1262:I1262"/>
    <mergeCell ref="J1263:M1263"/>
    <mergeCell ref="B1375:E1375"/>
    <mergeCell ref="F1375:H1375"/>
    <mergeCell ref="I1375:K1375"/>
    <mergeCell ref="M1398:R1398"/>
    <mergeCell ref="A1402:F1402"/>
    <mergeCell ref="J1413:O1413"/>
    <mergeCell ref="P1413:U1413"/>
    <mergeCell ref="P1411:U1411"/>
    <mergeCell ref="P1412:U1412"/>
    <mergeCell ref="G1399:L1399"/>
    <mergeCell ref="A1411:I1411"/>
    <mergeCell ref="D1405:U1405"/>
    <mergeCell ref="A1409:I1409"/>
    <mergeCell ref="G1401:L1401"/>
    <mergeCell ref="O1379:Q1379"/>
    <mergeCell ref="P1410:U1410"/>
    <mergeCell ref="P1416:U1416"/>
    <mergeCell ref="R1377:U1377"/>
    <mergeCell ref="L1378:N1378"/>
    <mergeCell ref="L1377:N1377"/>
    <mergeCell ref="C1390:U1390"/>
    <mergeCell ref="A1413:I1413"/>
    <mergeCell ref="G1398:L1398"/>
    <mergeCell ref="P1424:U1424"/>
    <mergeCell ref="P1426:U1426"/>
    <mergeCell ref="M1400:R1400"/>
    <mergeCell ref="E1416:O1416"/>
    <mergeCell ref="D1415:U1415"/>
    <mergeCell ref="A1400:F1400"/>
    <mergeCell ref="A1401:F1401"/>
    <mergeCell ref="J1412:O1412"/>
    <mergeCell ref="D1406:U1406"/>
    <mergeCell ref="P1409:U1409"/>
    <mergeCell ref="P1419:U1419"/>
    <mergeCell ref="P1418:U1418"/>
    <mergeCell ref="P1420:U1420"/>
    <mergeCell ref="P1421:U1421"/>
    <mergeCell ref="P1422:U1422"/>
    <mergeCell ref="P1423:U1423"/>
    <mergeCell ref="P1430:U1430"/>
    <mergeCell ref="P1431:U1431"/>
    <mergeCell ref="P1442:U1442"/>
    <mergeCell ref="P1443:U1443"/>
    <mergeCell ref="P1446:U1446"/>
    <mergeCell ref="P1434:U1434"/>
    <mergeCell ref="P1432:U1432"/>
    <mergeCell ref="P1785:U1785"/>
    <mergeCell ref="P1574:U1574"/>
    <mergeCell ref="E1509:O1509"/>
    <mergeCell ref="P1787:U1787"/>
    <mergeCell ref="P1800:U1800"/>
    <mergeCell ref="P1801:U1801"/>
    <mergeCell ref="P1777:U1777"/>
    <mergeCell ref="P1575:U1575"/>
    <mergeCell ref="P1798:U1798"/>
    <mergeCell ref="P1799:U1799"/>
    <mergeCell ref="P1451:U1451"/>
    <mergeCell ref="P1439:U1439"/>
    <mergeCell ref="P1437:U1437"/>
    <mergeCell ref="P1438:U1438"/>
    <mergeCell ref="E1552:O1552"/>
    <mergeCell ref="I1506:N1506"/>
    <mergeCell ref="P1551:U1551"/>
    <mergeCell ref="P1512:U1512"/>
    <mergeCell ref="P1511:U1511"/>
    <mergeCell ref="P1520:U1520"/>
    <mergeCell ref="P1425:U1425"/>
    <mergeCell ref="P1433:U1433"/>
    <mergeCell ref="P1441:U1441"/>
    <mergeCell ref="P1450:U1450"/>
    <mergeCell ref="P1436:U1436"/>
    <mergeCell ref="P1440:U1440"/>
    <mergeCell ref="P1444:U1444"/>
    <mergeCell ref="P1427:U1427"/>
    <mergeCell ref="P1428:U1428"/>
    <mergeCell ref="P1429:U1429"/>
    <mergeCell ref="L1844:R1844"/>
    <mergeCell ref="P1795:U1795"/>
    <mergeCell ref="P1796:U1796"/>
    <mergeCell ref="P1797:U1797"/>
    <mergeCell ref="P1823:U1823"/>
    <mergeCell ref="D1838:U1838"/>
    <mergeCell ref="P1835:U1835"/>
    <mergeCell ref="D1839:U1839"/>
    <mergeCell ref="P1833:U1833"/>
    <mergeCell ref="D1836:O1836"/>
    <mergeCell ref="D1845:K1845"/>
    <mergeCell ref="P1834:U1834"/>
    <mergeCell ref="P1836:U1836"/>
    <mergeCell ref="D1868:K1868"/>
    <mergeCell ref="D1842:R1842"/>
    <mergeCell ref="P1814:U1814"/>
    <mergeCell ref="P1816:U1816"/>
    <mergeCell ref="P1819:U1819"/>
    <mergeCell ref="L1845:R1845"/>
    <mergeCell ref="P1832:U1832"/>
    <mergeCell ref="B1374:E1374"/>
    <mergeCell ref="L1374:N1374"/>
    <mergeCell ref="C1385:U1385"/>
    <mergeCell ref="L1379:N1379"/>
    <mergeCell ref="B1376:E1376"/>
    <mergeCell ref="F1376:H1376"/>
    <mergeCell ref="F1377:H1377"/>
    <mergeCell ref="I1380:K1380"/>
    <mergeCell ref="L1376:N1376"/>
    <mergeCell ref="R1375:U1375"/>
    <mergeCell ref="R1310:U1310"/>
    <mergeCell ref="B1311:E1311"/>
    <mergeCell ref="B1337:E1337"/>
    <mergeCell ref="B1360:E1360"/>
    <mergeCell ref="B1359:E1359"/>
    <mergeCell ref="C1345:U1345"/>
    <mergeCell ref="C1314:U1314"/>
    <mergeCell ref="O1353:Q1353"/>
    <mergeCell ref="B1348:E1348"/>
    <mergeCell ref="O1310:Q1310"/>
    <mergeCell ref="R1364:U1364"/>
    <mergeCell ref="F1367:H1367"/>
    <mergeCell ref="B1363:E1363"/>
    <mergeCell ref="R1362:U1362"/>
    <mergeCell ref="C1356:U1356"/>
    <mergeCell ref="F1359:K1359"/>
    <mergeCell ref="L1359:Q1359"/>
    <mergeCell ref="B1361:E1361"/>
    <mergeCell ref="O1362:Q1362"/>
    <mergeCell ref="O1363:Q1363"/>
    <mergeCell ref="I1310:K1310"/>
    <mergeCell ref="B1353:E1353"/>
    <mergeCell ref="B1365:E1365"/>
    <mergeCell ref="F1362:H1362"/>
    <mergeCell ref="F1363:H1363"/>
    <mergeCell ref="R1367:U1367"/>
    <mergeCell ref="B1362:E1362"/>
    <mergeCell ref="L1362:N1362"/>
    <mergeCell ref="B1366:E1366"/>
    <mergeCell ref="F1366:H1366"/>
    <mergeCell ref="A1398:F1398"/>
    <mergeCell ref="F1310:H1310"/>
    <mergeCell ref="A1302:A1303"/>
    <mergeCell ref="A1321:A1322"/>
    <mergeCell ref="A1335:A1336"/>
    <mergeCell ref="A1348:A1349"/>
    <mergeCell ref="C1386:U1386"/>
    <mergeCell ref="I1377:K1377"/>
    <mergeCell ref="I1374:K1374"/>
    <mergeCell ref="I1376:K1376"/>
    <mergeCell ref="C1346:U1346"/>
    <mergeCell ref="B1351:E1351"/>
    <mergeCell ref="A1856:A1857"/>
    <mergeCell ref="P1810:U1810"/>
    <mergeCell ref="E1499:M1499"/>
    <mergeCell ref="B1379:E1379"/>
    <mergeCell ref="F1379:H1379"/>
    <mergeCell ref="I1379:K1379"/>
    <mergeCell ref="F1373:K1373"/>
    <mergeCell ref="L1373:Q1373"/>
    <mergeCell ref="N1259:Q1259"/>
    <mergeCell ref="B1377:E1377"/>
    <mergeCell ref="A1359:A1360"/>
    <mergeCell ref="A1373:A1374"/>
    <mergeCell ref="I1365:K1365"/>
    <mergeCell ref="B1310:E1310"/>
    <mergeCell ref="B1364:E1364"/>
    <mergeCell ref="L1361:N1361"/>
    <mergeCell ref="L1310:N1310"/>
    <mergeCell ref="B1367:E1367"/>
    <mergeCell ref="A1079:A1080"/>
    <mergeCell ref="A1065:A1066"/>
    <mergeCell ref="A1058:A1059"/>
    <mergeCell ref="A996:A997"/>
    <mergeCell ref="F997:H997"/>
    <mergeCell ref="A1055:A1056"/>
    <mergeCell ref="C1022:U1022"/>
    <mergeCell ref="C1016:U1016"/>
    <mergeCell ref="C1021:U1021"/>
    <mergeCell ref="C1019:U1019"/>
    <mergeCell ref="A983:A984"/>
    <mergeCell ref="A921:A922"/>
    <mergeCell ref="A908:A909"/>
    <mergeCell ref="A832:A833"/>
    <mergeCell ref="A882:A883"/>
    <mergeCell ref="A866:A867"/>
    <mergeCell ref="A970:A971"/>
    <mergeCell ref="A874:A875"/>
    <mergeCell ref="A895:A896"/>
    <mergeCell ref="A957:A958"/>
    <mergeCell ref="A1137:A1138"/>
    <mergeCell ref="A1126:A1128"/>
    <mergeCell ref="O1152:Q1152"/>
    <mergeCell ref="R1152:U1152"/>
    <mergeCell ref="B1152:E1152"/>
    <mergeCell ref="C1121:O1121"/>
    <mergeCell ref="O1138:Q1138"/>
    <mergeCell ref="C1146:U1146"/>
    <mergeCell ref="C1141:U1141"/>
    <mergeCell ref="C1142:U1142"/>
    <mergeCell ref="C1155:U1155"/>
    <mergeCell ref="C1156:U1156"/>
    <mergeCell ref="C1159:U1159"/>
    <mergeCell ref="C1056:U1056"/>
    <mergeCell ref="C1120:O1120"/>
    <mergeCell ref="C989:U989"/>
    <mergeCell ref="C1013:U1013"/>
    <mergeCell ref="F1138:H1138"/>
    <mergeCell ref="I1138:K1138"/>
    <mergeCell ref="L1138:N1138"/>
    <mergeCell ref="C1023:U1023"/>
    <mergeCell ref="B983:E983"/>
    <mergeCell ref="F983:K983"/>
    <mergeCell ref="I985:K985"/>
    <mergeCell ref="C967:U967"/>
    <mergeCell ref="C962:U962"/>
    <mergeCell ref="B973:U973"/>
    <mergeCell ref="L985:N985"/>
    <mergeCell ref="R984:U984"/>
    <mergeCell ref="I984:K984"/>
    <mergeCell ref="F985:H985"/>
    <mergeCell ref="J361:N361"/>
    <mergeCell ref="E359:I359"/>
    <mergeCell ref="E358:I358"/>
    <mergeCell ref="D335:I335"/>
    <mergeCell ref="J335:N335"/>
    <mergeCell ref="C862:U862"/>
    <mergeCell ref="T658:U658"/>
    <mergeCell ref="P852:U852"/>
    <mergeCell ref="P851:U851"/>
    <mergeCell ref="P1818:U1818"/>
    <mergeCell ref="F781:I781"/>
    <mergeCell ref="C988:U988"/>
    <mergeCell ref="C980:U980"/>
    <mergeCell ref="L983:Q983"/>
    <mergeCell ref="P1805:U1805"/>
    <mergeCell ref="P1803:U1803"/>
    <mergeCell ref="P1778:U1778"/>
    <mergeCell ref="P1815:U1815"/>
    <mergeCell ref="P1817:U1817"/>
    <mergeCell ref="P1807:U1807"/>
    <mergeCell ref="P1808:U1808"/>
    <mergeCell ref="P1806:U1806"/>
    <mergeCell ref="P1775:U1775"/>
    <mergeCell ref="P1776:U1776"/>
    <mergeCell ref="E398:I398"/>
    <mergeCell ref="P1794:U1794"/>
    <mergeCell ref="P1802:U1802"/>
    <mergeCell ref="P1782:U1782"/>
    <mergeCell ref="B985:E985"/>
    <mergeCell ref="D1687:O1687"/>
    <mergeCell ref="A1408:I1408"/>
    <mergeCell ref="J1408:O1408"/>
    <mergeCell ref="P1408:U1408"/>
    <mergeCell ref="P1792:U1792"/>
    <mergeCell ref="P1793:U1793"/>
    <mergeCell ref="A1410:I1410"/>
    <mergeCell ref="P1780:U1780"/>
    <mergeCell ref="P1784:U1784"/>
    <mergeCell ref="P1781:U1781"/>
    <mergeCell ref="D1858:U1858"/>
    <mergeCell ref="D1844:K1844"/>
    <mergeCell ref="L1853:R1853"/>
    <mergeCell ref="D1856:K1856"/>
    <mergeCell ref="D1854:K1854"/>
    <mergeCell ref="P1820:U1820"/>
    <mergeCell ref="D1848:U1848"/>
    <mergeCell ref="P1822:U1822"/>
    <mergeCell ref="D1843:K1843"/>
    <mergeCell ref="L1843:R1843"/>
    <mergeCell ref="P1826:U1826"/>
    <mergeCell ref="P1827:U1827"/>
    <mergeCell ref="P1828:U1828"/>
    <mergeCell ref="D1861:U1861"/>
    <mergeCell ref="P1809:U1809"/>
    <mergeCell ref="P1811:U1811"/>
    <mergeCell ref="P1812:U1812"/>
    <mergeCell ref="P1813:U1813"/>
    <mergeCell ref="D1846:K1846"/>
    <mergeCell ref="D1849:U1849"/>
    <mergeCell ref="D1870:K1870"/>
    <mergeCell ref="L1870:R1870"/>
    <mergeCell ref="P1829:U1829"/>
    <mergeCell ref="P1830:U1830"/>
    <mergeCell ref="D1862:U1862"/>
    <mergeCell ref="L1846:R1846"/>
    <mergeCell ref="D1853:K1853"/>
    <mergeCell ref="D1852:R1852"/>
    <mergeCell ref="P1831:U1831"/>
    <mergeCell ref="R1837:S1837"/>
    <mergeCell ref="P1770:U1770"/>
    <mergeCell ref="P1771:U1771"/>
    <mergeCell ref="P1774:U1774"/>
    <mergeCell ref="P1772:U1772"/>
    <mergeCell ref="P1773:U1773"/>
    <mergeCell ref="D1874:U1874"/>
    <mergeCell ref="D1872:K1872"/>
    <mergeCell ref="L1872:R1872"/>
    <mergeCell ref="P1824:U1824"/>
    <mergeCell ref="P1825:U1825"/>
    <mergeCell ref="P1743:U1743"/>
    <mergeCell ref="D1869:K1869"/>
    <mergeCell ref="L1868:R1868"/>
    <mergeCell ref="L1869:R1869"/>
    <mergeCell ref="P1708:U1708"/>
    <mergeCell ref="P1709:U1709"/>
    <mergeCell ref="D1725:U1725"/>
    <mergeCell ref="L1867:R1867"/>
    <mergeCell ref="L1854:R1854"/>
    <mergeCell ref="P1779:U1779"/>
    <mergeCell ref="P1690:U1690"/>
    <mergeCell ref="P1700:U1700"/>
    <mergeCell ref="P1703:U1703"/>
    <mergeCell ref="P1698:U1698"/>
    <mergeCell ref="P1694:U1694"/>
    <mergeCell ref="P1695:U1695"/>
    <mergeCell ref="P1696:U1696"/>
    <mergeCell ref="P1697:U1697"/>
    <mergeCell ref="P1689:U1689"/>
    <mergeCell ref="P1713:U1713"/>
    <mergeCell ref="P1730:U1730"/>
    <mergeCell ref="P1729:U1729"/>
    <mergeCell ref="D1722:U1722"/>
    <mergeCell ref="P1699:U1699"/>
    <mergeCell ref="P1718:U1718"/>
    <mergeCell ref="P1714:U1714"/>
    <mergeCell ref="P1715:U1715"/>
    <mergeCell ref="D1723:U1723"/>
    <mergeCell ref="P1687:U1687"/>
    <mergeCell ref="P1732:U1732"/>
    <mergeCell ref="P1704:U1704"/>
    <mergeCell ref="P1705:U1705"/>
    <mergeCell ref="P1706:U1706"/>
    <mergeCell ref="P1707:U1707"/>
    <mergeCell ref="P1688:U1688"/>
    <mergeCell ref="P1691:U1691"/>
    <mergeCell ref="P1692:U1692"/>
    <mergeCell ref="P1693:U1693"/>
    <mergeCell ref="P1665:U1665"/>
    <mergeCell ref="P1666:U1666"/>
    <mergeCell ref="E1664:O1664"/>
    <mergeCell ref="P1671:U1671"/>
    <mergeCell ref="D1684:U1684"/>
    <mergeCell ref="D1686:U1686"/>
    <mergeCell ref="D1680:O1680"/>
    <mergeCell ref="P1673:U1673"/>
    <mergeCell ref="P1674:U1674"/>
    <mergeCell ref="P1677:U1677"/>
    <mergeCell ref="P1668:U1668"/>
    <mergeCell ref="P1669:U1669"/>
    <mergeCell ref="P1670:U1670"/>
    <mergeCell ref="P1679:U1679"/>
    <mergeCell ref="D1683:U1683"/>
    <mergeCell ref="P1676:U1676"/>
    <mergeCell ref="P1680:U1680"/>
    <mergeCell ref="P1678:U1678"/>
    <mergeCell ref="P1675:U1675"/>
    <mergeCell ref="P1654:U1654"/>
    <mergeCell ref="P1655:U1655"/>
    <mergeCell ref="P1656:U1656"/>
    <mergeCell ref="P1657:U1657"/>
    <mergeCell ref="P1658:U1658"/>
    <mergeCell ref="P1667:U1667"/>
    <mergeCell ref="P1661:U1661"/>
    <mergeCell ref="P1662:U1662"/>
    <mergeCell ref="P1663:U1663"/>
    <mergeCell ref="P1664:U1664"/>
    <mergeCell ref="P1652:U1652"/>
    <mergeCell ref="P1647:U1647"/>
    <mergeCell ref="P1648:U1648"/>
    <mergeCell ref="P1649:U1649"/>
    <mergeCell ref="P1650:U1650"/>
    <mergeCell ref="P1653:U1653"/>
    <mergeCell ref="P1626:U1626"/>
    <mergeCell ref="P1627:U1627"/>
    <mergeCell ref="P1643:U1643"/>
    <mergeCell ref="P1644:U1644"/>
    <mergeCell ref="D1612:U1612"/>
    <mergeCell ref="P1614:U1614"/>
    <mergeCell ref="P1623:U1623"/>
    <mergeCell ref="P1624:U1624"/>
    <mergeCell ref="P1620:U1620"/>
    <mergeCell ref="P1621:U1621"/>
    <mergeCell ref="J1600:O1600"/>
    <mergeCell ref="P1602:U1602"/>
    <mergeCell ref="J1607:O1607"/>
    <mergeCell ref="J1608:O1608"/>
    <mergeCell ref="D1613:U1613"/>
    <mergeCell ref="P1619:U1619"/>
    <mergeCell ref="J1603:O1603"/>
    <mergeCell ref="J1604:O1604"/>
    <mergeCell ref="D1610:U1610"/>
    <mergeCell ref="D1611:U1611"/>
    <mergeCell ref="P1608:U1608"/>
    <mergeCell ref="P1601:U1601"/>
    <mergeCell ref="P1605:U1605"/>
    <mergeCell ref="P1607:U1607"/>
    <mergeCell ref="J1605:O1605"/>
    <mergeCell ref="J1606:O1606"/>
    <mergeCell ref="P1606:U1606"/>
    <mergeCell ref="B1590:U1590"/>
    <mergeCell ref="C1595:I1595"/>
    <mergeCell ref="C1608:I1608"/>
    <mergeCell ref="J1595:O1595"/>
    <mergeCell ref="J1596:O1596"/>
    <mergeCell ref="J1597:O1597"/>
    <mergeCell ref="J1598:O1598"/>
    <mergeCell ref="J1599:O1599"/>
    <mergeCell ref="J1601:O1601"/>
    <mergeCell ref="J1602:O1602"/>
    <mergeCell ref="P1595:U1595"/>
    <mergeCell ref="P1596:U1596"/>
    <mergeCell ref="P1597:U1597"/>
    <mergeCell ref="P1598:U1598"/>
    <mergeCell ref="P1603:U1603"/>
    <mergeCell ref="P1604:U1604"/>
    <mergeCell ref="P1600:U1600"/>
    <mergeCell ref="P1599:U1599"/>
    <mergeCell ref="C1391:U1391"/>
    <mergeCell ref="C1389:U1389"/>
    <mergeCell ref="C1384:U1384"/>
    <mergeCell ref="C1392:U1392"/>
    <mergeCell ref="F1380:H1380"/>
    <mergeCell ref="D1501:U1501"/>
    <mergeCell ref="A1412:I1412"/>
    <mergeCell ref="J1410:O1410"/>
    <mergeCell ref="M1401:R1401"/>
    <mergeCell ref="G1402:L1402"/>
    <mergeCell ref="O1506:U1506"/>
    <mergeCell ref="P1622:U1622"/>
    <mergeCell ref="P1615:U1615"/>
    <mergeCell ref="P1616:U1616"/>
    <mergeCell ref="D1588:O1588"/>
    <mergeCell ref="C1591:U1591"/>
    <mergeCell ref="P1617:U1617"/>
    <mergeCell ref="P1618:U1618"/>
    <mergeCell ref="C1594:T1594"/>
    <mergeCell ref="C1592:U1592"/>
    <mergeCell ref="P1588:U1588"/>
    <mergeCell ref="I1366:K1366"/>
    <mergeCell ref="L1366:N1366"/>
    <mergeCell ref="O1366:Q1366"/>
    <mergeCell ref="R1366:U1366"/>
    <mergeCell ref="C1370:U1370"/>
    <mergeCell ref="O1367:Q1367"/>
    <mergeCell ref="R1379:U1379"/>
    <mergeCell ref="I1367:K1367"/>
    <mergeCell ref="L1367:N1367"/>
    <mergeCell ref="R1363:U1363"/>
    <mergeCell ref="O1351:Q1351"/>
    <mergeCell ref="R1351:U1351"/>
    <mergeCell ref="R1376:U1376"/>
    <mergeCell ref="O1352:Q1352"/>
    <mergeCell ref="O1360:Q1360"/>
    <mergeCell ref="O1365:Q1365"/>
    <mergeCell ref="O1364:Q1364"/>
    <mergeCell ref="R1354:U1354"/>
    <mergeCell ref="R1359:U1359"/>
    <mergeCell ref="F1365:H1365"/>
    <mergeCell ref="I1362:K1362"/>
    <mergeCell ref="I1363:K1363"/>
    <mergeCell ref="I1364:K1364"/>
    <mergeCell ref="L1363:N1363"/>
    <mergeCell ref="L1364:N1364"/>
    <mergeCell ref="I1351:K1351"/>
    <mergeCell ref="L1351:N1351"/>
    <mergeCell ref="L1360:N1360"/>
    <mergeCell ref="F1360:H1360"/>
    <mergeCell ref="F1354:H1354"/>
    <mergeCell ref="I1354:K1354"/>
    <mergeCell ref="L1354:N1354"/>
    <mergeCell ref="F1353:H1353"/>
    <mergeCell ref="I1353:K1353"/>
    <mergeCell ref="F1352:H1352"/>
    <mergeCell ref="L1352:N1352"/>
    <mergeCell ref="I1361:K1361"/>
    <mergeCell ref="L1365:N1365"/>
    <mergeCell ref="C1357:U1357"/>
    <mergeCell ref="R1360:U1360"/>
    <mergeCell ref="B1354:E1354"/>
    <mergeCell ref="R1365:U1365"/>
    <mergeCell ref="F1361:H1361"/>
    <mergeCell ref="R1361:U1361"/>
    <mergeCell ref="F1364:H1364"/>
    <mergeCell ref="B1349:E1349"/>
    <mergeCell ref="F1349:H1349"/>
    <mergeCell ref="I1349:K1349"/>
    <mergeCell ref="L1349:N1349"/>
    <mergeCell ref="B1352:E1352"/>
    <mergeCell ref="O1361:Q1361"/>
    <mergeCell ref="L1353:N1353"/>
    <mergeCell ref="O1354:Q1354"/>
    <mergeCell ref="I1360:K1360"/>
    <mergeCell ref="I1352:K1352"/>
    <mergeCell ref="F1342:H1342"/>
    <mergeCell ref="R1352:U1352"/>
    <mergeCell ref="F1348:K1348"/>
    <mergeCell ref="L1348:Q1348"/>
    <mergeCell ref="R1348:U1348"/>
    <mergeCell ref="L1350:N1350"/>
    <mergeCell ref="C1344:U1344"/>
    <mergeCell ref="I1342:K1342"/>
    <mergeCell ref="I1350:K1350"/>
    <mergeCell ref="F1351:H1351"/>
    <mergeCell ref="B1341:E1341"/>
    <mergeCell ref="F1341:H1341"/>
    <mergeCell ref="R1353:U1353"/>
    <mergeCell ref="O1350:Q1350"/>
    <mergeCell ref="R1350:U1350"/>
    <mergeCell ref="R1349:U1349"/>
    <mergeCell ref="O1349:Q1349"/>
    <mergeCell ref="B1350:E1350"/>
    <mergeCell ref="F1350:H1350"/>
    <mergeCell ref="B1342:E1342"/>
    <mergeCell ref="B1339:E1339"/>
    <mergeCell ref="F1339:H1339"/>
    <mergeCell ref="I1339:K1339"/>
    <mergeCell ref="L1339:N1339"/>
    <mergeCell ref="L1342:N1342"/>
    <mergeCell ref="B1340:E1340"/>
    <mergeCell ref="F1340:H1340"/>
    <mergeCell ref="I1340:K1340"/>
    <mergeCell ref="I1341:K1341"/>
    <mergeCell ref="L1341:N1341"/>
    <mergeCell ref="O1342:Q1342"/>
    <mergeCell ref="R1342:U1342"/>
    <mergeCell ref="O1341:Q1341"/>
    <mergeCell ref="R1341:U1341"/>
    <mergeCell ref="O1339:Q1339"/>
    <mergeCell ref="R1339:U1339"/>
    <mergeCell ref="F1338:H1338"/>
    <mergeCell ref="I1338:K1338"/>
    <mergeCell ref="L1338:N1338"/>
    <mergeCell ref="O1338:Q1338"/>
    <mergeCell ref="R1338:U1338"/>
    <mergeCell ref="F1337:H1337"/>
    <mergeCell ref="I1337:K1337"/>
    <mergeCell ref="L1337:N1337"/>
    <mergeCell ref="O1337:Q1337"/>
    <mergeCell ref="R1337:U1337"/>
    <mergeCell ref="L1340:N1340"/>
    <mergeCell ref="O1340:Q1340"/>
    <mergeCell ref="R1340:U1340"/>
    <mergeCell ref="B1326:E1326"/>
    <mergeCell ref="F1326:H1326"/>
    <mergeCell ref="I1326:K1326"/>
    <mergeCell ref="L1326:N1326"/>
    <mergeCell ref="O1326:Q1326"/>
    <mergeCell ref="R1326:U1326"/>
    <mergeCell ref="R1335:U1335"/>
    <mergeCell ref="B1325:E1325"/>
    <mergeCell ref="F1325:H1325"/>
    <mergeCell ref="I1325:K1325"/>
    <mergeCell ref="L1325:N1325"/>
    <mergeCell ref="O1325:Q1325"/>
    <mergeCell ref="R1325:U1325"/>
    <mergeCell ref="B1324:E1324"/>
    <mergeCell ref="F1324:H1324"/>
    <mergeCell ref="I1324:K1324"/>
    <mergeCell ref="L1324:N1324"/>
    <mergeCell ref="O1324:Q1324"/>
    <mergeCell ref="R1324:U1324"/>
    <mergeCell ref="I1328:K1328"/>
    <mergeCell ref="L1328:N1328"/>
    <mergeCell ref="O1328:Q1328"/>
    <mergeCell ref="R1328:U1328"/>
    <mergeCell ref="F1335:K1335"/>
    <mergeCell ref="L1335:Q1335"/>
    <mergeCell ref="C1331:U1331"/>
    <mergeCell ref="C1332:U1332"/>
    <mergeCell ref="B1329:E1329"/>
    <mergeCell ref="I1329:K1329"/>
    <mergeCell ref="B1323:E1323"/>
    <mergeCell ref="F1323:H1323"/>
    <mergeCell ref="I1323:K1323"/>
    <mergeCell ref="L1323:N1323"/>
    <mergeCell ref="O1323:Q1323"/>
    <mergeCell ref="R1323:U1323"/>
    <mergeCell ref="B1322:E1322"/>
    <mergeCell ref="F1322:H1322"/>
    <mergeCell ref="I1322:K1322"/>
    <mergeCell ref="L1322:N1322"/>
    <mergeCell ref="O1322:Q1322"/>
    <mergeCell ref="R1322:U1322"/>
    <mergeCell ref="C1316:U1316"/>
    <mergeCell ref="C1317:U1317"/>
    <mergeCell ref="C1318:U1318"/>
    <mergeCell ref="C1319:U1319"/>
    <mergeCell ref="B1321:E1321"/>
    <mergeCell ref="F1321:K1321"/>
    <mergeCell ref="L1321:Q1321"/>
    <mergeCell ref="R1321:U1321"/>
    <mergeCell ref="L1308:N1308"/>
    <mergeCell ref="O1308:Q1308"/>
    <mergeCell ref="R1308:U1308"/>
    <mergeCell ref="B1309:E1309"/>
    <mergeCell ref="F1309:H1309"/>
    <mergeCell ref="I1309:K1309"/>
    <mergeCell ref="L1309:N1309"/>
    <mergeCell ref="O1309:Q1309"/>
    <mergeCell ref="R1309:U1309"/>
    <mergeCell ref="R1312:U1312"/>
    <mergeCell ref="B1307:E1307"/>
    <mergeCell ref="F1307:H1307"/>
    <mergeCell ref="I1307:K1307"/>
    <mergeCell ref="L1307:N1307"/>
    <mergeCell ref="O1307:Q1307"/>
    <mergeCell ref="R1307:U1307"/>
    <mergeCell ref="B1308:E1308"/>
    <mergeCell ref="F1308:H1308"/>
    <mergeCell ref="I1308:K1308"/>
    <mergeCell ref="F1311:H1311"/>
    <mergeCell ref="I1311:K1311"/>
    <mergeCell ref="L1311:N1311"/>
    <mergeCell ref="O1311:Q1311"/>
    <mergeCell ref="R1311:U1311"/>
    <mergeCell ref="B1312:E1312"/>
    <mergeCell ref="F1312:H1312"/>
    <mergeCell ref="I1312:K1312"/>
    <mergeCell ref="L1312:N1312"/>
    <mergeCell ref="O1312:Q1312"/>
    <mergeCell ref="B1306:E1306"/>
    <mergeCell ref="F1306:H1306"/>
    <mergeCell ref="I1306:K1306"/>
    <mergeCell ref="L1306:N1306"/>
    <mergeCell ref="O1306:Q1306"/>
    <mergeCell ref="R1306:U1306"/>
    <mergeCell ref="R1303:U1303"/>
    <mergeCell ref="B1303:E1303"/>
    <mergeCell ref="F1303:H1303"/>
    <mergeCell ref="B1305:E1305"/>
    <mergeCell ref="F1305:H1305"/>
    <mergeCell ref="I1305:K1305"/>
    <mergeCell ref="L1305:N1305"/>
    <mergeCell ref="O1305:Q1305"/>
    <mergeCell ref="R1305:U1305"/>
    <mergeCell ref="B1304:E1304"/>
    <mergeCell ref="F1304:H1304"/>
    <mergeCell ref="I1304:K1304"/>
    <mergeCell ref="L1304:N1304"/>
    <mergeCell ref="O1304:Q1304"/>
    <mergeCell ref="R1304:U1304"/>
    <mergeCell ref="N1290:U1290"/>
    <mergeCell ref="N1291:U1291"/>
    <mergeCell ref="N1296:U1296"/>
    <mergeCell ref="N1292:U1292"/>
    <mergeCell ref="N1293:U1293"/>
    <mergeCell ref="N1295:U1295"/>
    <mergeCell ref="C1298:U1298"/>
    <mergeCell ref="C1299:U1299"/>
    <mergeCell ref="B1296:M1296"/>
    <mergeCell ref="B1302:E1302"/>
    <mergeCell ref="F1302:K1302"/>
    <mergeCell ref="L1302:Q1302"/>
    <mergeCell ref="R1302:U1302"/>
    <mergeCell ref="C1300:U1300"/>
    <mergeCell ref="C1295:M1295"/>
    <mergeCell ref="C1281:U1281"/>
    <mergeCell ref="N1294:U1294"/>
    <mergeCell ref="R1263:U1263"/>
    <mergeCell ref="I1303:K1303"/>
    <mergeCell ref="L1303:N1303"/>
    <mergeCell ref="O1303:Q1303"/>
    <mergeCell ref="B1277:U1277"/>
    <mergeCell ref="B1278:U1278"/>
    <mergeCell ref="R1274:U1274"/>
    <mergeCell ref="C1293:M1293"/>
    <mergeCell ref="J1262:M1262"/>
    <mergeCell ref="N1262:Q1262"/>
    <mergeCell ref="R1262:U1262"/>
    <mergeCell ref="J1261:M1261"/>
    <mergeCell ref="N1261:Q1261"/>
    <mergeCell ref="B1265:U1265"/>
    <mergeCell ref="L1165:Q1165"/>
    <mergeCell ref="B1167:E1167"/>
    <mergeCell ref="F1167:H1167"/>
    <mergeCell ref="R1166:U1166"/>
    <mergeCell ref="L1166:N1166"/>
    <mergeCell ref="O1166:Q1166"/>
    <mergeCell ref="F1165:K1165"/>
    <mergeCell ref="R1259:U1259"/>
    <mergeCell ref="L1185:N1185"/>
    <mergeCell ref="O1185:Q1185"/>
    <mergeCell ref="R1185:U1185"/>
    <mergeCell ref="L1184:N1184"/>
    <mergeCell ref="O1184:Q1184"/>
    <mergeCell ref="R1184:U1184"/>
    <mergeCell ref="J1259:M1259"/>
    <mergeCell ref="R1224:U1224"/>
    <mergeCell ref="C1201:U1201"/>
    <mergeCell ref="C1260:I1260"/>
    <mergeCell ref="J1260:M1260"/>
    <mergeCell ref="B1255:E1255"/>
    <mergeCell ref="F1255:H1255"/>
    <mergeCell ref="I1255:K1255"/>
    <mergeCell ref="L1167:N1167"/>
    <mergeCell ref="I1225:K1225"/>
    <mergeCell ref="B1184:E1184"/>
    <mergeCell ref="F1184:H1184"/>
    <mergeCell ref="I1184:K1184"/>
    <mergeCell ref="N1260:Q1260"/>
    <mergeCell ref="B1263:I1263"/>
    <mergeCell ref="C1261:I1261"/>
    <mergeCell ref="N1263:Q1263"/>
    <mergeCell ref="F1152:H1152"/>
    <mergeCell ref="L1255:N1255"/>
    <mergeCell ref="O1255:Q1255"/>
    <mergeCell ref="I1152:K1152"/>
    <mergeCell ref="L1152:N1152"/>
    <mergeCell ref="C1205:U1205"/>
    <mergeCell ref="B1173:M1173"/>
    <mergeCell ref="N1173:U1173"/>
    <mergeCell ref="C1175:U1175"/>
    <mergeCell ref="C1158:U1158"/>
    <mergeCell ref="I1167:K1167"/>
    <mergeCell ref="B1153:U1153"/>
    <mergeCell ref="C1169:U1169"/>
    <mergeCell ref="O1167:Q1167"/>
    <mergeCell ref="C1157:U1157"/>
    <mergeCell ref="R1167:U1167"/>
    <mergeCell ref="C1162:U1162"/>
    <mergeCell ref="L1150:Q1150"/>
    <mergeCell ref="R1150:U1150"/>
    <mergeCell ref="C1143:U1143"/>
    <mergeCell ref="C1148:U1148"/>
    <mergeCell ref="B1151:E1151"/>
    <mergeCell ref="F1151:H1151"/>
    <mergeCell ref="C1147:U1147"/>
    <mergeCell ref="I1151:K1151"/>
    <mergeCell ref="O1151:Q1151"/>
    <mergeCell ref="B1150:E1150"/>
    <mergeCell ref="N1073:U1073"/>
    <mergeCell ref="R1138:U1138"/>
    <mergeCell ref="R1139:U1139"/>
    <mergeCell ref="F1139:H1139"/>
    <mergeCell ref="I1139:K1139"/>
    <mergeCell ref="L1139:N1139"/>
    <mergeCell ref="O1139:Q1139"/>
    <mergeCell ref="B1139:E1139"/>
    <mergeCell ref="B1140:U1140"/>
    <mergeCell ref="C974:U974"/>
    <mergeCell ref="C975:U975"/>
    <mergeCell ref="C976:U976"/>
    <mergeCell ref="C977:U977"/>
    <mergeCell ref="C979:U979"/>
    <mergeCell ref="C1012:U1012"/>
    <mergeCell ref="C1000:U1000"/>
    <mergeCell ref="C1001:U1001"/>
    <mergeCell ref="C1002:U1002"/>
    <mergeCell ref="C1003:U1003"/>
    <mergeCell ref="B859:O859"/>
    <mergeCell ref="C880:U880"/>
    <mergeCell ref="C879:U879"/>
    <mergeCell ref="B970:E970"/>
    <mergeCell ref="F970:K970"/>
    <mergeCell ref="L970:Q970"/>
    <mergeCell ref="R970:U970"/>
    <mergeCell ref="C968:U968"/>
    <mergeCell ref="B876:E876"/>
    <mergeCell ref="I867:K867"/>
    <mergeCell ref="P846:U846"/>
    <mergeCell ref="P847:U847"/>
    <mergeCell ref="P848:U848"/>
    <mergeCell ref="P849:U849"/>
    <mergeCell ref="P850:U850"/>
    <mergeCell ref="C872:U872"/>
    <mergeCell ref="C863:U863"/>
    <mergeCell ref="C846:O846"/>
    <mergeCell ref="C861:U861"/>
    <mergeCell ref="B866:E866"/>
    <mergeCell ref="C844:U844"/>
    <mergeCell ref="C893:U893"/>
    <mergeCell ref="C892:U892"/>
    <mergeCell ref="C905:U905"/>
    <mergeCell ref="C992:U992"/>
    <mergeCell ref="C1014:U1014"/>
    <mergeCell ref="C1009:U1009"/>
    <mergeCell ref="C1006:U1006"/>
    <mergeCell ref="C1008:U1008"/>
    <mergeCell ref="B999:U999"/>
    <mergeCell ref="C1018:U1018"/>
    <mergeCell ref="C1017:U1017"/>
    <mergeCell ref="C1015:U1015"/>
    <mergeCell ref="C1011:U1011"/>
    <mergeCell ref="C1020:U1020"/>
    <mergeCell ref="C1010:U1010"/>
    <mergeCell ref="C1005:U1005"/>
    <mergeCell ref="B998:E998"/>
    <mergeCell ref="F998:H998"/>
    <mergeCell ref="I998:K998"/>
    <mergeCell ref="L998:N998"/>
    <mergeCell ref="O998:Q998"/>
    <mergeCell ref="R998:U998"/>
    <mergeCell ref="B971:E971"/>
    <mergeCell ref="C981:U981"/>
    <mergeCell ref="O959:Q959"/>
    <mergeCell ref="F971:H971"/>
    <mergeCell ref="I971:K971"/>
    <mergeCell ref="L971:N971"/>
    <mergeCell ref="O971:Q971"/>
    <mergeCell ref="R971:U971"/>
    <mergeCell ref="B960:U960"/>
    <mergeCell ref="C961:U961"/>
    <mergeCell ref="C963:U963"/>
    <mergeCell ref="B948:U948"/>
    <mergeCell ref="C966:U966"/>
    <mergeCell ref="C949:U949"/>
    <mergeCell ref="C952:U952"/>
    <mergeCell ref="O972:Q972"/>
    <mergeCell ref="R972:U972"/>
    <mergeCell ref="B959:E959"/>
    <mergeCell ref="F959:H959"/>
    <mergeCell ref="I959:K959"/>
    <mergeCell ref="C942:U942"/>
    <mergeCell ref="C954:U954"/>
    <mergeCell ref="B947:E947"/>
    <mergeCell ref="F947:H947"/>
    <mergeCell ref="I947:K947"/>
    <mergeCell ref="L947:N947"/>
    <mergeCell ref="B946:E946"/>
    <mergeCell ref="F946:H946"/>
    <mergeCell ref="B945:E945"/>
    <mergeCell ref="B923:E923"/>
    <mergeCell ref="F923:H923"/>
    <mergeCell ref="C943:U943"/>
    <mergeCell ref="C944:U944"/>
    <mergeCell ref="L946:N946"/>
    <mergeCell ref="O946:Q946"/>
    <mergeCell ref="R946:U946"/>
    <mergeCell ref="L945:Q945"/>
    <mergeCell ref="B934:E934"/>
    <mergeCell ref="O923:Q923"/>
    <mergeCell ref="I922:K922"/>
    <mergeCell ref="B958:E958"/>
    <mergeCell ref="F958:H958"/>
    <mergeCell ref="I958:K958"/>
    <mergeCell ref="L958:N958"/>
    <mergeCell ref="O958:Q958"/>
    <mergeCell ref="O947:Q947"/>
    <mergeCell ref="C950:U950"/>
    <mergeCell ref="R947:U947"/>
    <mergeCell ref="R958:U958"/>
    <mergeCell ref="R922:U922"/>
    <mergeCell ref="L923:N923"/>
    <mergeCell ref="C914:U914"/>
    <mergeCell ref="C915:U915"/>
    <mergeCell ref="C919:U919"/>
    <mergeCell ref="B922:E922"/>
    <mergeCell ref="F922:H922"/>
    <mergeCell ref="C918:U918"/>
    <mergeCell ref="B921:E921"/>
    <mergeCell ref="L921:Q921"/>
    <mergeCell ref="R923:U923"/>
    <mergeCell ref="B924:U924"/>
    <mergeCell ref="I923:K923"/>
    <mergeCell ref="C907:U907"/>
    <mergeCell ref="L922:N922"/>
    <mergeCell ref="O922:Q922"/>
    <mergeCell ref="C912:U912"/>
    <mergeCell ref="F908:K908"/>
    <mergeCell ref="B909:E909"/>
    <mergeCell ref="F909:H909"/>
    <mergeCell ref="R933:U933"/>
    <mergeCell ref="C841:U841"/>
    <mergeCell ref="O910:Q910"/>
    <mergeCell ref="R910:U910"/>
    <mergeCell ref="R921:U921"/>
    <mergeCell ref="R876:U876"/>
    <mergeCell ref="C891:U891"/>
    <mergeCell ref="C904:U904"/>
    <mergeCell ref="C917:U917"/>
    <mergeCell ref="F921:K921"/>
    <mergeCell ref="C889:U889"/>
    <mergeCell ref="C842:U842"/>
    <mergeCell ref="C839:U839"/>
    <mergeCell ref="C840:U840"/>
    <mergeCell ref="I909:K909"/>
    <mergeCell ref="L909:N909"/>
    <mergeCell ref="O909:Q909"/>
    <mergeCell ref="C878:U878"/>
    <mergeCell ref="C900:U900"/>
    <mergeCell ref="R867:U867"/>
    <mergeCell ref="C847:O847"/>
    <mergeCell ref="O876:Q876"/>
    <mergeCell ref="L897:N897"/>
    <mergeCell ref="L896:N896"/>
    <mergeCell ref="R882:U882"/>
    <mergeCell ref="I884:K884"/>
    <mergeCell ref="B883:E883"/>
    <mergeCell ref="F884:H884"/>
    <mergeCell ref="B884:E884"/>
    <mergeCell ref="P853:U853"/>
    <mergeCell ref="L895:Q895"/>
    <mergeCell ref="B898:U898"/>
    <mergeCell ref="R895:U895"/>
    <mergeCell ref="B896:E896"/>
    <mergeCell ref="F896:H896"/>
    <mergeCell ref="F895:K895"/>
    <mergeCell ref="R896:U896"/>
    <mergeCell ref="I818:M818"/>
    <mergeCell ref="I833:K833"/>
    <mergeCell ref="R909:U909"/>
    <mergeCell ref="P856:U856"/>
    <mergeCell ref="P857:U857"/>
    <mergeCell ref="C902:U902"/>
    <mergeCell ref="B908:E908"/>
    <mergeCell ref="R832:U832"/>
    <mergeCell ref="S823:U823"/>
    <mergeCell ref="F897:H897"/>
    <mergeCell ref="N821:R821"/>
    <mergeCell ref="S819:U819"/>
    <mergeCell ref="S820:U820"/>
    <mergeCell ref="N808:Q808"/>
    <mergeCell ref="S816:U816"/>
    <mergeCell ref="N817:R817"/>
    <mergeCell ref="N818:R818"/>
    <mergeCell ref="N819:R819"/>
    <mergeCell ref="I823:M823"/>
    <mergeCell ref="C808:E808"/>
    <mergeCell ref="A816:H816"/>
    <mergeCell ref="I817:M817"/>
    <mergeCell ref="N807:Q807"/>
    <mergeCell ref="N816:R816"/>
    <mergeCell ref="J807:M807"/>
    <mergeCell ref="R807:U807"/>
    <mergeCell ref="C813:U813"/>
    <mergeCell ref="R808:U808"/>
    <mergeCell ref="R804:U804"/>
    <mergeCell ref="N799:Q799"/>
    <mergeCell ref="D802:U802"/>
    <mergeCell ref="F796:I796"/>
    <mergeCell ref="N796:Q796"/>
    <mergeCell ref="N797:Q797"/>
    <mergeCell ref="C801:U801"/>
    <mergeCell ref="C804:E805"/>
    <mergeCell ref="B793:B794"/>
    <mergeCell ref="R781:U781"/>
    <mergeCell ref="R780:U780"/>
    <mergeCell ref="B755:U755"/>
    <mergeCell ref="S756:U756"/>
    <mergeCell ref="N761:R761"/>
    <mergeCell ref="F787:I787"/>
    <mergeCell ref="B756:H756"/>
    <mergeCell ref="B769:H769"/>
    <mergeCell ref="B758:H758"/>
    <mergeCell ref="C795:E795"/>
    <mergeCell ref="C797:E797"/>
    <mergeCell ref="C798:E798"/>
    <mergeCell ref="J796:M796"/>
    <mergeCell ref="J798:M798"/>
    <mergeCell ref="J795:M795"/>
    <mergeCell ref="F795:I795"/>
    <mergeCell ref="C796:E796"/>
    <mergeCell ref="F798:I798"/>
    <mergeCell ref="C788:E788"/>
    <mergeCell ref="S772:U772"/>
    <mergeCell ref="I773:M773"/>
    <mergeCell ref="N773:R773"/>
    <mergeCell ref="S773:U773"/>
    <mergeCell ref="N760:R760"/>
    <mergeCell ref="N784:Q784"/>
    <mergeCell ref="S761:U761"/>
    <mergeCell ref="I761:M761"/>
    <mergeCell ref="B771:H771"/>
    <mergeCell ref="B736:I736"/>
    <mergeCell ref="I772:M772"/>
    <mergeCell ref="N772:R772"/>
    <mergeCell ref="B742:I742"/>
    <mergeCell ref="I771:M771"/>
    <mergeCell ref="N771:R771"/>
    <mergeCell ref="N770:R770"/>
    <mergeCell ref="D753:U753"/>
    <mergeCell ref="B759:H759"/>
    <mergeCell ref="J788:M788"/>
    <mergeCell ref="F786:I786"/>
    <mergeCell ref="N787:Q787"/>
    <mergeCell ref="J733:M733"/>
    <mergeCell ref="B726:I726"/>
    <mergeCell ref="J726:M726"/>
    <mergeCell ref="N726:Q726"/>
    <mergeCell ref="B741:I741"/>
    <mergeCell ref="J741:M741"/>
    <mergeCell ref="N741:Q741"/>
    <mergeCell ref="J727:M727"/>
    <mergeCell ref="F782:I782"/>
    <mergeCell ref="J782:M782"/>
    <mergeCell ref="F797:I797"/>
    <mergeCell ref="J797:M797"/>
    <mergeCell ref="C790:U790"/>
    <mergeCell ref="C776:U776"/>
    <mergeCell ref="F784:I784"/>
    <mergeCell ref="J743:M743"/>
    <mergeCell ref="B773:H773"/>
    <mergeCell ref="O1327:Q1327"/>
    <mergeCell ref="P1630:U1630"/>
    <mergeCell ref="R833:U833"/>
    <mergeCell ref="P1631:U1631"/>
    <mergeCell ref="F833:H833"/>
    <mergeCell ref="C901:U901"/>
    <mergeCell ref="O833:Q833"/>
    <mergeCell ref="L833:N833"/>
    <mergeCell ref="B833:E833"/>
    <mergeCell ref="C836:T836"/>
    <mergeCell ref="F806:I806"/>
    <mergeCell ref="N806:Q806"/>
    <mergeCell ref="R806:U806"/>
    <mergeCell ref="C807:E807"/>
    <mergeCell ref="P1629:U1629"/>
    <mergeCell ref="F1329:H1329"/>
    <mergeCell ref="C806:E806"/>
    <mergeCell ref="S821:U821"/>
    <mergeCell ref="F832:K832"/>
    <mergeCell ref="B1336:E1336"/>
    <mergeCell ref="D1875:U1875"/>
    <mergeCell ref="D1876:U1876"/>
    <mergeCell ref="P1634:U1634"/>
    <mergeCell ref="I1336:K1336"/>
    <mergeCell ref="B735:I735"/>
    <mergeCell ref="R794:U794"/>
    <mergeCell ref="P1638:U1638"/>
    <mergeCell ref="P1637:U1637"/>
    <mergeCell ref="P1751:U1751"/>
    <mergeCell ref="P1752:U1752"/>
    <mergeCell ref="R726:U726"/>
    <mergeCell ref="P855:U855"/>
    <mergeCell ref="B835:E835"/>
    <mergeCell ref="J724:M724"/>
    <mergeCell ref="P1635:U1635"/>
    <mergeCell ref="P1636:U1636"/>
    <mergeCell ref="B1328:E1328"/>
    <mergeCell ref="C1248:U1248"/>
    <mergeCell ref="C786:E786"/>
    <mergeCell ref="C785:E785"/>
    <mergeCell ref="P1642:U1642"/>
    <mergeCell ref="P1639:U1639"/>
    <mergeCell ref="P1645:U1645"/>
    <mergeCell ref="D1871:K1871"/>
    <mergeCell ref="P1765:U1765"/>
    <mergeCell ref="P1747:U1747"/>
    <mergeCell ref="P1748:U1748"/>
    <mergeCell ref="P1659:U1659"/>
    <mergeCell ref="P1660:U1660"/>
    <mergeCell ref="P1651:U1651"/>
    <mergeCell ref="N717:Q717"/>
    <mergeCell ref="R717:U717"/>
    <mergeCell ref="R706:U706"/>
    <mergeCell ref="N725:Q725"/>
    <mergeCell ref="R725:U725"/>
    <mergeCell ref="B723:U723"/>
    <mergeCell ref="N718:Q718"/>
    <mergeCell ref="B724:I724"/>
    <mergeCell ref="C717:E717"/>
    <mergeCell ref="D708:U708"/>
    <mergeCell ref="P1757:U1757"/>
    <mergeCell ref="P1762:U1762"/>
    <mergeCell ref="P1760:U1760"/>
    <mergeCell ref="D1891:K1891"/>
    <mergeCell ref="L1871:R1871"/>
    <mergeCell ref="D1860:U1860"/>
    <mergeCell ref="D1859:U1859"/>
    <mergeCell ref="D1866:K1866"/>
    <mergeCell ref="P1789:U1789"/>
    <mergeCell ref="P1790:U1790"/>
    <mergeCell ref="P1761:U1761"/>
    <mergeCell ref="P1764:U1764"/>
    <mergeCell ref="P1758:U1758"/>
    <mergeCell ref="P1783:U1783"/>
    <mergeCell ref="P1755:U1755"/>
    <mergeCell ref="P1756:U1756"/>
    <mergeCell ref="P1767:U1767"/>
    <mergeCell ref="P1768:U1768"/>
    <mergeCell ref="P1769:U1769"/>
    <mergeCell ref="P1763:U1763"/>
    <mergeCell ref="A1905:A1907"/>
    <mergeCell ref="D1905:K1905"/>
    <mergeCell ref="L1905:R1905"/>
    <mergeCell ref="L1901:R1901"/>
    <mergeCell ref="L1902:R1902"/>
    <mergeCell ref="A1881:A1882"/>
    <mergeCell ref="D1888:U1888"/>
    <mergeCell ref="D1882:K1882"/>
    <mergeCell ref="L1882:R1882"/>
    <mergeCell ref="L1889:R1889"/>
    <mergeCell ref="P1750:U1750"/>
    <mergeCell ref="P1746:U1746"/>
    <mergeCell ref="P1745:U1745"/>
    <mergeCell ref="P1741:U1741"/>
    <mergeCell ref="C1294:M1294"/>
    <mergeCell ref="D1682:U1682"/>
    <mergeCell ref="F1336:H1336"/>
    <mergeCell ref="P1672:U1672"/>
    <mergeCell ref="P1625:U1625"/>
    <mergeCell ref="P1749:U1749"/>
    <mergeCell ref="D1728:O1728"/>
    <mergeCell ref="P1646:U1646"/>
    <mergeCell ref="P858:U858"/>
    <mergeCell ref="O1336:Q1336"/>
    <mergeCell ref="R1336:U1336"/>
    <mergeCell ref="L1329:N1329"/>
    <mergeCell ref="O1329:Q1329"/>
    <mergeCell ref="R1329:U1329"/>
    <mergeCell ref="P1640:U1640"/>
    <mergeCell ref="P1633:U1633"/>
    <mergeCell ref="R798:U798"/>
    <mergeCell ref="B760:H760"/>
    <mergeCell ref="S771:U771"/>
    <mergeCell ref="I769:M769"/>
    <mergeCell ref="B761:H761"/>
    <mergeCell ref="N757:R757"/>
    <mergeCell ref="I758:M758"/>
    <mergeCell ref="N758:R758"/>
    <mergeCell ref="B757:H757"/>
    <mergeCell ref="S758:U758"/>
    <mergeCell ref="F785:I785"/>
    <mergeCell ref="J785:M785"/>
    <mergeCell ref="I1327:K1327"/>
    <mergeCell ref="C913:U913"/>
    <mergeCell ref="C1289:M1289"/>
    <mergeCell ref="F794:I794"/>
    <mergeCell ref="J794:M794"/>
    <mergeCell ref="N1289:U1289"/>
    <mergeCell ref="L910:N910"/>
    <mergeCell ref="R797:U797"/>
    <mergeCell ref="J738:M738"/>
    <mergeCell ref="N738:Q738"/>
    <mergeCell ref="J742:M742"/>
    <mergeCell ref="J780:Q780"/>
    <mergeCell ref="F783:I783"/>
    <mergeCell ref="J787:M787"/>
    <mergeCell ref="N743:Q743"/>
    <mergeCell ref="N756:R756"/>
    <mergeCell ref="J786:M786"/>
    <mergeCell ref="N742:Q742"/>
    <mergeCell ref="R736:U736"/>
    <mergeCell ref="N736:Q736"/>
    <mergeCell ref="R734:U734"/>
    <mergeCell ref="J736:M736"/>
    <mergeCell ref="R737:U737"/>
    <mergeCell ref="J734:M734"/>
    <mergeCell ref="N735:Q735"/>
    <mergeCell ref="S759:U759"/>
    <mergeCell ref="S760:U760"/>
    <mergeCell ref="O747:S747"/>
    <mergeCell ref="O748:S748"/>
    <mergeCell ref="C766:U766"/>
    <mergeCell ref="J739:M739"/>
    <mergeCell ref="R739:U739"/>
    <mergeCell ref="S757:U757"/>
    <mergeCell ref="F805:I805"/>
    <mergeCell ref="J805:M805"/>
    <mergeCell ref="J804:Q804"/>
    <mergeCell ref="R799:U799"/>
    <mergeCell ref="R728:U728"/>
    <mergeCell ref="R735:U735"/>
    <mergeCell ref="N728:Q728"/>
    <mergeCell ref="R731:U731"/>
    <mergeCell ref="N731:Q731"/>
    <mergeCell ref="R786:U786"/>
    <mergeCell ref="N729:Q729"/>
    <mergeCell ref="R733:U733"/>
    <mergeCell ref="R730:U730"/>
    <mergeCell ref="R732:U732"/>
    <mergeCell ref="J728:M728"/>
    <mergeCell ref="C799:E799"/>
    <mergeCell ref="N798:Q798"/>
    <mergeCell ref="R740:U740"/>
    <mergeCell ref="N739:Q739"/>
    <mergeCell ref="N769:R769"/>
    <mergeCell ref="N734:Q734"/>
    <mergeCell ref="J729:M729"/>
    <mergeCell ref="B730:I730"/>
    <mergeCell ref="N732:Q732"/>
    <mergeCell ref="B731:I731"/>
    <mergeCell ref="J732:M732"/>
    <mergeCell ref="N733:Q733"/>
    <mergeCell ref="J731:M731"/>
    <mergeCell ref="B733:I733"/>
    <mergeCell ref="B734:I734"/>
    <mergeCell ref="R743:U743"/>
    <mergeCell ref="J740:M740"/>
    <mergeCell ref="O749:S749"/>
    <mergeCell ref="E748:M748"/>
    <mergeCell ref="N730:Q730"/>
    <mergeCell ref="B737:I737"/>
    <mergeCell ref="N737:Q737"/>
    <mergeCell ref="J735:M735"/>
    <mergeCell ref="R742:U742"/>
    <mergeCell ref="B738:I738"/>
    <mergeCell ref="B1199:U1199"/>
    <mergeCell ref="C1200:U1200"/>
    <mergeCell ref="B732:I732"/>
    <mergeCell ref="R741:U741"/>
    <mergeCell ref="B740:I740"/>
    <mergeCell ref="B739:I739"/>
    <mergeCell ref="B780:B781"/>
    <mergeCell ref="N805:Q805"/>
    <mergeCell ref="N786:Q786"/>
    <mergeCell ref="R796:U796"/>
    <mergeCell ref="F1327:H1327"/>
    <mergeCell ref="R1327:U1327"/>
    <mergeCell ref="B1138:E1138"/>
    <mergeCell ref="C1144:U1144"/>
    <mergeCell ref="L1151:N1151"/>
    <mergeCell ref="B1243:C1243"/>
    <mergeCell ref="B1242:C1242"/>
    <mergeCell ref="Q1242:U1242"/>
    <mergeCell ref="F1150:K1150"/>
    <mergeCell ref="C1181:U1181"/>
    <mergeCell ref="P1716:U1716"/>
    <mergeCell ref="P1717:U1717"/>
    <mergeCell ref="F1479:O1479"/>
    <mergeCell ref="P1628:U1628"/>
    <mergeCell ref="F1328:H1328"/>
    <mergeCell ref="E1427:O1427"/>
    <mergeCell ref="C1404:U1404"/>
    <mergeCell ref="B1335:E1335"/>
    <mergeCell ref="L1336:N1336"/>
    <mergeCell ref="P1641:U1641"/>
    <mergeCell ref="P1742:U1742"/>
    <mergeCell ref="P1710:U1710"/>
    <mergeCell ref="P1711:U1711"/>
    <mergeCell ref="P1712:U1712"/>
    <mergeCell ref="P1738:U1738"/>
    <mergeCell ref="P1720:U1720"/>
    <mergeCell ref="P1719:U1719"/>
    <mergeCell ref="P1735:U1735"/>
    <mergeCell ref="D1724:U1724"/>
    <mergeCell ref="D1720:O1720"/>
    <mergeCell ref="P1744:U1744"/>
    <mergeCell ref="P1734:U1734"/>
    <mergeCell ref="P1737:U1737"/>
    <mergeCell ref="D1727:U1727"/>
    <mergeCell ref="P1736:U1736"/>
    <mergeCell ref="P1731:U1731"/>
    <mergeCell ref="P1739:U1739"/>
    <mergeCell ref="P1733:U1733"/>
    <mergeCell ref="P1728:U1728"/>
    <mergeCell ref="P1740:U1740"/>
    <mergeCell ref="P1759:U1759"/>
    <mergeCell ref="L1253:Q1253"/>
    <mergeCell ref="B1253:E1253"/>
    <mergeCell ref="C1247:T1247"/>
    <mergeCell ref="R718:U718"/>
    <mergeCell ref="R705:U705"/>
    <mergeCell ref="D712:U712"/>
    <mergeCell ref="J706:M706"/>
    <mergeCell ref="R1258:U1258"/>
    <mergeCell ref="C718:E718"/>
    <mergeCell ref="J737:M737"/>
    <mergeCell ref="C751:U751"/>
    <mergeCell ref="D745:U745"/>
    <mergeCell ref="N740:Q740"/>
    <mergeCell ref="R738:U738"/>
    <mergeCell ref="N794:Q794"/>
    <mergeCell ref="E747:M747"/>
    <mergeCell ref="E749:M749"/>
    <mergeCell ref="O746:S746"/>
    <mergeCell ref="D752:U752"/>
    <mergeCell ref="F717:I717"/>
    <mergeCell ref="F718:I718"/>
    <mergeCell ref="J718:M718"/>
    <mergeCell ref="B729:I729"/>
    <mergeCell ref="J725:M725"/>
    <mergeCell ref="J717:M717"/>
    <mergeCell ref="B725:I725"/>
    <mergeCell ref="C720:U720"/>
    <mergeCell ref="B728:I728"/>
    <mergeCell ref="R729:U729"/>
    <mergeCell ref="R696:U696"/>
    <mergeCell ref="J704:M704"/>
    <mergeCell ref="D691:U691"/>
    <mergeCell ref="J682:M682"/>
    <mergeCell ref="B727:I727"/>
    <mergeCell ref="C706:E706"/>
    <mergeCell ref="R727:U727"/>
    <mergeCell ref="R695:U695"/>
    <mergeCell ref="D711:U711"/>
    <mergeCell ref="R685:U685"/>
    <mergeCell ref="D84:U84"/>
    <mergeCell ref="N724:Q724"/>
    <mergeCell ref="R724:U724"/>
    <mergeCell ref="J696:M696"/>
    <mergeCell ref="J730:M730"/>
    <mergeCell ref="D700:U700"/>
    <mergeCell ref="N727:Q727"/>
    <mergeCell ref="J395:N395"/>
    <mergeCell ref="T256:U257"/>
    <mergeCell ref="F706:I706"/>
    <mergeCell ref="E87:U87"/>
    <mergeCell ref="N696:Q696"/>
    <mergeCell ref="J693:Q693"/>
    <mergeCell ref="N687:Q687"/>
    <mergeCell ref="F688:I688"/>
    <mergeCell ref="J688:M688"/>
    <mergeCell ref="O361:S361"/>
    <mergeCell ref="F695:I695"/>
    <mergeCell ref="J320:N320"/>
    <mergeCell ref="O242:S242"/>
    <mergeCell ref="D68:U68"/>
    <mergeCell ref="D16:U16"/>
    <mergeCell ref="D17:U17"/>
    <mergeCell ref="D18:U18"/>
    <mergeCell ref="D19:U19"/>
    <mergeCell ref="D20:U20"/>
    <mergeCell ref="C21:U21"/>
    <mergeCell ref="D34:U34"/>
    <mergeCell ref="C66:T66"/>
    <mergeCell ref="D35:U35"/>
    <mergeCell ref="B2:U2"/>
    <mergeCell ref="B3:U3"/>
    <mergeCell ref="D7:U7"/>
    <mergeCell ref="C23:T23"/>
    <mergeCell ref="D11:U11"/>
    <mergeCell ref="C31:U31"/>
    <mergeCell ref="A115:A118"/>
    <mergeCell ref="C12:U12"/>
    <mergeCell ref="D14:U14"/>
    <mergeCell ref="D15:U15"/>
    <mergeCell ref="C115:U115"/>
    <mergeCell ref="A1:U1"/>
    <mergeCell ref="C8:U8"/>
    <mergeCell ref="C9:U9"/>
    <mergeCell ref="C10:U10"/>
    <mergeCell ref="C13:U13"/>
    <mergeCell ref="A29:A30"/>
    <mergeCell ref="C24:T24"/>
    <mergeCell ref="C25:T25"/>
    <mergeCell ref="C26:T26"/>
    <mergeCell ref="C27:T27"/>
    <mergeCell ref="A359:D359"/>
    <mergeCell ref="T240:U240"/>
    <mergeCell ref="T241:U241"/>
    <mergeCell ref="G273:O273"/>
    <mergeCell ref="C229:U229"/>
    <mergeCell ref="B667:U667"/>
    <mergeCell ref="D656:U656"/>
    <mergeCell ref="J641:N641"/>
    <mergeCell ref="A600:D600"/>
    <mergeCell ref="A629:A630"/>
    <mergeCell ref="O576:S576"/>
    <mergeCell ref="A612:A614"/>
    <mergeCell ref="B649:U649"/>
    <mergeCell ref="C603:U603"/>
    <mergeCell ref="Q652:U652"/>
    <mergeCell ref="J321:N321"/>
    <mergeCell ref="C67:T67"/>
    <mergeCell ref="T321:U321"/>
    <mergeCell ref="Q120:U121"/>
    <mergeCell ref="T239:U239"/>
    <mergeCell ref="C80:T80"/>
    <mergeCell ref="D171:U171"/>
    <mergeCell ref="E169:J169"/>
    <mergeCell ref="T246:U246"/>
    <mergeCell ref="E85:U85"/>
    <mergeCell ref="K169:O169"/>
    <mergeCell ref="E146:J146"/>
    <mergeCell ref="K146:O146"/>
    <mergeCell ref="P301:U301"/>
    <mergeCell ref="D259:I259"/>
    <mergeCell ref="E147:J147"/>
    <mergeCell ref="E168:J168"/>
    <mergeCell ref="K168:O168"/>
    <mergeCell ref="T245:U245"/>
    <mergeCell ref="D244:I244"/>
    <mergeCell ref="C61:T61"/>
    <mergeCell ref="E83:U83"/>
    <mergeCell ref="D256:N256"/>
    <mergeCell ref="T395:U395"/>
    <mergeCell ref="T359:U359"/>
    <mergeCell ref="T323:U323"/>
    <mergeCell ref="C339:U339"/>
    <mergeCell ref="T334:U334"/>
    <mergeCell ref="O335:S335"/>
    <mergeCell ref="J358:N358"/>
    <mergeCell ref="C22:U22"/>
    <mergeCell ref="D36:U36"/>
    <mergeCell ref="D39:U39"/>
    <mergeCell ref="D51:U51"/>
    <mergeCell ref="C60:T60"/>
    <mergeCell ref="C29:T29"/>
    <mergeCell ref="V315:AL315"/>
    <mergeCell ref="D252:U252"/>
    <mergeCell ref="D253:U253"/>
    <mergeCell ref="D254:U254"/>
    <mergeCell ref="D317:U317"/>
    <mergeCell ref="E303:U303"/>
    <mergeCell ref="O257:S257"/>
    <mergeCell ref="O258:S258"/>
    <mergeCell ref="V265:AL265"/>
    <mergeCell ref="D257:I257"/>
    <mergeCell ref="G274:O274"/>
    <mergeCell ref="J261:N261"/>
    <mergeCell ref="AF341:AI341"/>
    <mergeCell ref="D320:I320"/>
    <mergeCell ref="AB342:AE342"/>
    <mergeCell ref="V317:AL317"/>
    <mergeCell ref="T335:U335"/>
    <mergeCell ref="O324:S324"/>
    <mergeCell ref="V318:AL318"/>
    <mergeCell ref="O319:S319"/>
    <mergeCell ref="T261:U261"/>
    <mergeCell ref="T262:U262"/>
    <mergeCell ref="A337:A355"/>
    <mergeCell ref="D319:N319"/>
    <mergeCell ref="T358:U358"/>
    <mergeCell ref="J258:N258"/>
    <mergeCell ref="J259:N259"/>
    <mergeCell ref="D260:I260"/>
    <mergeCell ref="E301:O301"/>
    <mergeCell ref="J263:N263"/>
    <mergeCell ref="T384:U384"/>
    <mergeCell ref="A378:A379"/>
    <mergeCell ref="T322:U322"/>
    <mergeCell ref="D326:U326"/>
    <mergeCell ref="O262:S262"/>
    <mergeCell ref="A261:C261"/>
    <mergeCell ref="O320:S320"/>
    <mergeCell ref="D261:I261"/>
    <mergeCell ref="P271:U271"/>
    <mergeCell ref="O261:S261"/>
    <mergeCell ref="C380:U380"/>
    <mergeCell ref="B377:U377"/>
    <mergeCell ref="C379:U379"/>
    <mergeCell ref="T361:U361"/>
    <mergeCell ref="C338:U338"/>
    <mergeCell ref="A363:D363"/>
    <mergeCell ref="O358:S358"/>
    <mergeCell ref="A361:D361"/>
    <mergeCell ref="A362:D362"/>
    <mergeCell ref="A360:D360"/>
    <mergeCell ref="E464:I464"/>
    <mergeCell ref="B462:U462"/>
    <mergeCell ref="J454:N454"/>
    <mergeCell ref="O454:S454"/>
    <mergeCell ref="T456:U456"/>
    <mergeCell ref="A456:D456"/>
    <mergeCell ref="J455:N455"/>
    <mergeCell ref="E459:U459"/>
    <mergeCell ref="T450:U450"/>
    <mergeCell ref="J427:N427"/>
    <mergeCell ref="J428:N428"/>
    <mergeCell ref="J449:N449"/>
    <mergeCell ref="O466:S466"/>
    <mergeCell ref="E466:I466"/>
    <mergeCell ref="T449:U449"/>
    <mergeCell ref="E453:I453"/>
    <mergeCell ref="T466:U466"/>
    <mergeCell ref="T453:U453"/>
    <mergeCell ref="E600:I600"/>
    <mergeCell ref="J588:N588"/>
    <mergeCell ref="T600:U600"/>
    <mergeCell ref="A588:D588"/>
    <mergeCell ref="T597:U597"/>
    <mergeCell ref="T590:U590"/>
    <mergeCell ref="J600:N600"/>
    <mergeCell ref="A597:D597"/>
    <mergeCell ref="O588:S588"/>
    <mergeCell ref="E588:I588"/>
    <mergeCell ref="N606:S606"/>
    <mergeCell ref="Q653:U653"/>
    <mergeCell ref="T639:U639"/>
    <mergeCell ref="O642:S642"/>
    <mergeCell ref="L652:P652"/>
    <mergeCell ref="B650:K650"/>
    <mergeCell ref="E621:K621"/>
    <mergeCell ref="O618:T618"/>
    <mergeCell ref="I606:M606"/>
    <mergeCell ref="I607:M607"/>
    <mergeCell ref="B673:I673"/>
    <mergeCell ref="T632:U632"/>
    <mergeCell ref="O628:S628"/>
    <mergeCell ref="J631:N631"/>
    <mergeCell ref="D636:U636"/>
    <mergeCell ref="B674:I674"/>
    <mergeCell ref="J669:N669"/>
    <mergeCell ref="D655:U655"/>
    <mergeCell ref="C665:U665"/>
    <mergeCell ref="B657:U657"/>
    <mergeCell ref="B672:I672"/>
    <mergeCell ref="T641:U641"/>
    <mergeCell ref="C620:D620"/>
    <mergeCell ref="D634:U634"/>
    <mergeCell ref="J628:N628"/>
    <mergeCell ref="O671:S671"/>
    <mergeCell ref="J672:N672"/>
    <mergeCell ref="J671:N671"/>
    <mergeCell ref="D625:U625"/>
    <mergeCell ref="O672:S672"/>
    <mergeCell ref="J629:N629"/>
    <mergeCell ref="J632:N632"/>
    <mergeCell ref="C617:D617"/>
    <mergeCell ref="O621:T621"/>
    <mergeCell ref="T627:U627"/>
    <mergeCell ref="O620:T620"/>
    <mergeCell ref="C631:I631"/>
    <mergeCell ref="O629:S629"/>
    <mergeCell ref="C629:I629"/>
    <mergeCell ref="C619:D619"/>
    <mergeCell ref="C621:D621"/>
    <mergeCell ref="O619:T619"/>
    <mergeCell ref="C622:K622"/>
    <mergeCell ref="O627:S627"/>
    <mergeCell ref="C628:I628"/>
    <mergeCell ref="B671:I671"/>
    <mergeCell ref="T669:U669"/>
    <mergeCell ref="T670:U670"/>
    <mergeCell ref="T628:U628"/>
    <mergeCell ref="T629:U629"/>
    <mergeCell ref="T630:U630"/>
    <mergeCell ref="T631:U631"/>
    <mergeCell ref="L653:P653"/>
    <mergeCell ref="L651:P651"/>
    <mergeCell ref="B638:U638"/>
    <mergeCell ref="B668:I668"/>
    <mergeCell ref="J668:N668"/>
    <mergeCell ref="O668:S668"/>
    <mergeCell ref="T668:U668"/>
    <mergeCell ref="B651:K651"/>
    <mergeCell ref="B669:I669"/>
    <mergeCell ref="B670:I670"/>
    <mergeCell ref="O669:S669"/>
    <mergeCell ref="O670:S670"/>
    <mergeCell ref="F715:I715"/>
    <mergeCell ref="J715:Q715"/>
    <mergeCell ref="R715:U715"/>
    <mergeCell ref="F704:I704"/>
    <mergeCell ref="C705:E705"/>
    <mergeCell ref="R704:U704"/>
    <mergeCell ref="R681:U681"/>
    <mergeCell ref="C684:E684"/>
    <mergeCell ref="N695:Q695"/>
    <mergeCell ref="N686:Q686"/>
    <mergeCell ref="F687:I687"/>
    <mergeCell ref="F679:I679"/>
    <mergeCell ref="N680:Q680"/>
    <mergeCell ref="J684:M684"/>
    <mergeCell ref="N682:Q682"/>
    <mergeCell ref="R683:U683"/>
    <mergeCell ref="F680:I680"/>
    <mergeCell ref="N684:Q684"/>
    <mergeCell ref="C686:E686"/>
    <mergeCell ref="N685:Q685"/>
    <mergeCell ref="J695:M695"/>
    <mergeCell ref="C693:E694"/>
    <mergeCell ref="F686:I686"/>
    <mergeCell ref="B688:E688"/>
    <mergeCell ref="J694:M694"/>
    <mergeCell ref="B679:B680"/>
    <mergeCell ref="C679:E680"/>
    <mergeCell ref="C683:E683"/>
    <mergeCell ref="O674:S674"/>
    <mergeCell ref="J673:N673"/>
    <mergeCell ref="J679:Q679"/>
    <mergeCell ref="J680:M680"/>
    <mergeCell ref="N683:Q683"/>
    <mergeCell ref="N681:Q681"/>
    <mergeCell ref="J681:M681"/>
    <mergeCell ref="J683:M683"/>
    <mergeCell ref="C676:U676"/>
    <mergeCell ref="D678:U678"/>
    <mergeCell ref="F682:I682"/>
    <mergeCell ref="F683:I683"/>
    <mergeCell ref="F684:I684"/>
    <mergeCell ref="C682:E682"/>
    <mergeCell ref="R679:U679"/>
    <mergeCell ref="R680:U680"/>
    <mergeCell ref="R682:U682"/>
    <mergeCell ref="C681:E681"/>
    <mergeCell ref="B693:B694"/>
    <mergeCell ref="J685:M685"/>
    <mergeCell ref="F685:I685"/>
    <mergeCell ref="D690:U690"/>
    <mergeCell ref="R694:U694"/>
    <mergeCell ref="J687:M687"/>
    <mergeCell ref="N688:Q688"/>
    <mergeCell ref="C685:E685"/>
    <mergeCell ref="C687:E687"/>
    <mergeCell ref="N694:Q694"/>
    <mergeCell ref="N706:Q706"/>
    <mergeCell ref="C703:E704"/>
    <mergeCell ref="F703:I703"/>
    <mergeCell ref="N705:Q705"/>
    <mergeCell ref="F705:I705"/>
    <mergeCell ref="D698:U698"/>
    <mergeCell ref="O395:S395"/>
    <mergeCell ref="A385:D385"/>
    <mergeCell ref="E400:I400"/>
    <mergeCell ref="O397:S397"/>
    <mergeCell ref="A394:D394"/>
    <mergeCell ref="E394:I394"/>
    <mergeCell ref="C389:U389"/>
    <mergeCell ref="B393:U393"/>
    <mergeCell ref="T397:U397"/>
    <mergeCell ref="J397:N397"/>
    <mergeCell ref="R684:U684"/>
    <mergeCell ref="O419:S419"/>
    <mergeCell ref="J417:N417"/>
    <mergeCell ref="E384:I384"/>
    <mergeCell ref="A399:D399"/>
    <mergeCell ref="T398:U398"/>
    <mergeCell ref="E395:I395"/>
    <mergeCell ref="J401:N401"/>
    <mergeCell ref="T399:U399"/>
    <mergeCell ref="D391:U391"/>
    <mergeCell ref="O382:S382"/>
    <mergeCell ref="T382:U382"/>
    <mergeCell ref="C388:U388"/>
    <mergeCell ref="J385:N385"/>
    <mergeCell ref="T385:U385"/>
    <mergeCell ref="A383:D383"/>
    <mergeCell ref="E383:I383"/>
    <mergeCell ref="A382:D382"/>
    <mergeCell ref="O384:S384"/>
    <mergeCell ref="J384:N384"/>
    <mergeCell ref="D71:U71"/>
    <mergeCell ref="D65:T65"/>
    <mergeCell ref="D79:U79"/>
    <mergeCell ref="C387:U387"/>
    <mergeCell ref="E385:I385"/>
    <mergeCell ref="T383:U383"/>
    <mergeCell ref="A384:D384"/>
    <mergeCell ref="O362:S362"/>
    <mergeCell ref="E382:I382"/>
    <mergeCell ref="J382:N382"/>
    <mergeCell ref="A57:A58"/>
    <mergeCell ref="A112:U112"/>
    <mergeCell ref="C57:T57"/>
    <mergeCell ref="D88:U88"/>
    <mergeCell ref="E89:U89"/>
    <mergeCell ref="E274:F274"/>
    <mergeCell ref="E270:F270"/>
    <mergeCell ref="E271:F271"/>
    <mergeCell ref="E272:F272"/>
    <mergeCell ref="D258:I258"/>
    <mergeCell ref="D233:I233"/>
    <mergeCell ref="J233:N233"/>
    <mergeCell ref="E162:J162"/>
    <mergeCell ref="E143:J143"/>
    <mergeCell ref="A222:T222"/>
    <mergeCell ref="A232:C233"/>
    <mergeCell ref="A227:A228"/>
    <mergeCell ref="K147:O147"/>
    <mergeCell ref="K162:O162"/>
    <mergeCell ref="T168:U168"/>
    <mergeCell ref="A263:C263"/>
    <mergeCell ref="O360:S360"/>
    <mergeCell ref="J360:N360"/>
    <mergeCell ref="E144:J144"/>
    <mergeCell ref="C355:U355"/>
    <mergeCell ref="B365:U365"/>
    <mergeCell ref="E360:I360"/>
    <mergeCell ref="P165:S165"/>
    <mergeCell ref="D245:I245"/>
    <mergeCell ref="E362:I362"/>
    <mergeCell ref="T360:U360"/>
    <mergeCell ref="E361:I361"/>
    <mergeCell ref="E363:I363"/>
    <mergeCell ref="C368:T368"/>
    <mergeCell ref="O359:S359"/>
    <mergeCell ref="B366:U366"/>
    <mergeCell ref="C367:T367"/>
    <mergeCell ref="O363:S363"/>
    <mergeCell ref="D247:I247"/>
    <mergeCell ref="T394:U394"/>
    <mergeCell ref="J396:N396"/>
    <mergeCell ref="J363:N363"/>
    <mergeCell ref="P272:U272"/>
    <mergeCell ref="P270:U270"/>
    <mergeCell ref="T363:U363"/>
    <mergeCell ref="B381:T381"/>
    <mergeCell ref="B357:U357"/>
    <mergeCell ref="O394:S394"/>
    <mergeCell ref="A396:D396"/>
    <mergeCell ref="A113:U113"/>
    <mergeCell ref="C117:U117"/>
    <mergeCell ref="C118:U118"/>
    <mergeCell ref="T396:U396"/>
    <mergeCell ref="J394:N394"/>
    <mergeCell ref="A395:D395"/>
    <mergeCell ref="J383:N383"/>
    <mergeCell ref="O383:S383"/>
    <mergeCell ref="O385:S385"/>
    <mergeCell ref="O398:S398"/>
    <mergeCell ref="B409:U409"/>
    <mergeCell ref="O411:S411"/>
    <mergeCell ref="A397:D397"/>
    <mergeCell ref="D408:U408"/>
    <mergeCell ref="E402:I402"/>
    <mergeCell ref="T400:U400"/>
    <mergeCell ref="J411:N411"/>
    <mergeCell ref="A410:D410"/>
    <mergeCell ref="O402:S402"/>
    <mergeCell ref="O590:S590"/>
    <mergeCell ref="E488:I488"/>
    <mergeCell ref="E518:U518"/>
    <mergeCell ref="E567:U567"/>
    <mergeCell ref="O587:S587"/>
    <mergeCell ref="O586:S586"/>
    <mergeCell ref="O488:S488"/>
    <mergeCell ref="J526:N526"/>
    <mergeCell ref="O526:S526"/>
    <mergeCell ref="J522:N522"/>
    <mergeCell ref="J466:N466"/>
    <mergeCell ref="T417:U417"/>
    <mergeCell ref="J398:N398"/>
    <mergeCell ref="E487:I487"/>
    <mergeCell ref="E481:I481"/>
    <mergeCell ref="T480:U480"/>
    <mergeCell ref="O478:S478"/>
    <mergeCell ref="T454:U454"/>
    <mergeCell ref="J463:N463"/>
    <mergeCell ref="E465:I465"/>
    <mergeCell ref="E566:U566"/>
    <mergeCell ref="T526:U526"/>
    <mergeCell ref="O449:S449"/>
    <mergeCell ref="E450:I450"/>
    <mergeCell ref="T430:U430"/>
    <mergeCell ref="E449:I449"/>
    <mergeCell ref="B477:U477"/>
    <mergeCell ref="T524:U524"/>
    <mergeCell ref="F471:U471"/>
    <mergeCell ref="E522:I522"/>
    <mergeCell ref="E619:K619"/>
    <mergeCell ref="F696:I696"/>
    <mergeCell ref="B696:E696"/>
    <mergeCell ref="T674:U674"/>
    <mergeCell ref="O673:S673"/>
    <mergeCell ref="E526:I526"/>
    <mergeCell ref="R686:U686"/>
    <mergeCell ref="F693:I693"/>
    <mergeCell ref="R693:U693"/>
    <mergeCell ref="F694:I694"/>
    <mergeCell ref="B659:I659"/>
    <mergeCell ref="J705:M705"/>
    <mergeCell ref="R703:U703"/>
    <mergeCell ref="J686:M686"/>
    <mergeCell ref="T671:U671"/>
    <mergeCell ref="T672:U672"/>
    <mergeCell ref="B703:B704"/>
    <mergeCell ref="R687:U687"/>
    <mergeCell ref="R688:U688"/>
    <mergeCell ref="D701:U701"/>
    <mergeCell ref="E617:K617"/>
    <mergeCell ref="O617:T617"/>
    <mergeCell ref="E710:U710"/>
    <mergeCell ref="F716:I716"/>
    <mergeCell ref="R716:U716"/>
    <mergeCell ref="J783:M783"/>
    <mergeCell ref="N783:Q783"/>
    <mergeCell ref="T673:U673"/>
    <mergeCell ref="C695:E695"/>
    <mergeCell ref="Q651:U651"/>
    <mergeCell ref="R884:U884"/>
    <mergeCell ref="L883:N883"/>
    <mergeCell ref="F882:K882"/>
    <mergeCell ref="O883:Q883"/>
    <mergeCell ref="R883:U883"/>
    <mergeCell ref="C871:U871"/>
    <mergeCell ref="L876:N876"/>
    <mergeCell ref="C873:U873"/>
    <mergeCell ref="R874:U874"/>
    <mergeCell ref="L884:N884"/>
    <mergeCell ref="F883:H883"/>
    <mergeCell ref="I883:K883"/>
    <mergeCell ref="F808:I808"/>
    <mergeCell ref="J808:M808"/>
    <mergeCell ref="B882:E882"/>
    <mergeCell ref="L882:Q882"/>
    <mergeCell ref="P854:U854"/>
    <mergeCell ref="C850:O850"/>
    <mergeCell ref="C830:U830"/>
    <mergeCell ref="C829:U829"/>
    <mergeCell ref="O884:Q884"/>
    <mergeCell ref="B1027:C1027"/>
    <mergeCell ref="Q1027:U1027"/>
    <mergeCell ref="F957:K957"/>
    <mergeCell ref="L957:Q957"/>
    <mergeCell ref="R957:U957"/>
    <mergeCell ref="I946:K946"/>
    <mergeCell ref="B1024:U1024"/>
    <mergeCell ref="B1026:C1026"/>
    <mergeCell ref="R959:U959"/>
    <mergeCell ref="B957:E957"/>
    <mergeCell ref="C938:U938"/>
    <mergeCell ref="C939:U939"/>
    <mergeCell ref="C940:U940"/>
    <mergeCell ref="C887:U887"/>
    <mergeCell ref="I897:K897"/>
    <mergeCell ref="R945:U945"/>
    <mergeCell ref="R935:U935"/>
    <mergeCell ref="B936:U936"/>
    <mergeCell ref="C937:U937"/>
    <mergeCell ref="Q1026:U1026"/>
    <mergeCell ref="B935:E935"/>
    <mergeCell ref="R908:U908"/>
    <mergeCell ref="C899:U899"/>
    <mergeCell ref="B897:E897"/>
    <mergeCell ref="F934:H934"/>
    <mergeCell ref="I934:K934"/>
    <mergeCell ref="L934:N934"/>
    <mergeCell ref="O934:Q934"/>
    <mergeCell ref="R934:U934"/>
    <mergeCell ref="F935:H935"/>
    <mergeCell ref="C951:U951"/>
    <mergeCell ref="C956:U956"/>
    <mergeCell ref="L959:N959"/>
    <mergeCell ref="O935:Q935"/>
    <mergeCell ref="Q1028:U1028"/>
    <mergeCell ref="I935:K935"/>
    <mergeCell ref="L935:N935"/>
    <mergeCell ref="B1028:C1028"/>
    <mergeCell ref="F945:K945"/>
    <mergeCell ref="B1037:C1037"/>
    <mergeCell ref="Q1037:U1037"/>
    <mergeCell ref="B1032:C1032"/>
    <mergeCell ref="B1034:C1034"/>
    <mergeCell ref="Q1032:U1032"/>
    <mergeCell ref="B1033:C1033"/>
    <mergeCell ref="Q1033:U1033"/>
    <mergeCell ref="D1037:P1037"/>
    <mergeCell ref="D1032:P1032"/>
    <mergeCell ref="B1031:C1031"/>
    <mergeCell ref="Q1031:U1031"/>
    <mergeCell ref="D1035:P1035"/>
    <mergeCell ref="D1036:P1036"/>
    <mergeCell ref="B1035:C1035"/>
    <mergeCell ref="Q1035:U1035"/>
    <mergeCell ref="B1036:C1036"/>
    <mergeCell ref="Q1034:U1034"/>
    <mergeCell ref="D1031:P1031"/>
    <mergeCell ref="D1040:P1040"/>
    <mergeCell ref="D1041:P1041"/>
    <mergeCell ref="Q1044:U1044"/>
    <mergeCell ref="D1047:P1047"/>
    <mergeCell ref="D1038:P1038"/>
    <mergeCell ref="Q1038:U1038"/>
    <mergeCell ref="Q1042:U1042"/>
    <mergeCell ref="Q1043:U1043"/>
    <mergeCell ref="D1039:P1039"/>
    <mergeCell ref="D1044:P1044"/>
    <mergeCell ref="B933:E933"/>
    <mergeCell ref="F933:K933"/>
    <mergeCell ref="L933:Q933"/>
    <mergeCell ref="C931:U931"/>
    <mergeCell ref="Q1036:U1036"/>
    <mergeCell ref="B1029:C1029"/>
    <mergeCell ref="Q1029:U1029"/>
    <mergeCell ref="Q1030:U1030"/>
    <mergeCell ref="C955:U955"/>
    <mergeCell ref="D1030:P1030"/>
    <mergeCell ref="I896:K896"/>
    <mergeCell ref="C903:U903"/>
    <mergeCell ref="B911:U911"/>
    <mergeCell ref="B910:E910"/>
    <mergeCell ref="F910:H910"/>
    <mergeCell ref="L908:Q908"/>
    <mergeCell ref="R897:U897"/>
    <mergeCell ref="O896:Q896"/>
    <mergeCell ref="I910:K910"/>
    <mergeCell ref="B895:E895"/>
    <mergeCell ref="O1060:Q1060"/>
    <mergeCell ref="B1038:C1038"/>
    <mergeCell ref="B1039:C1039"/>
    <mergeCell ref="B1047:C1047"/>
    <mergeCell ref="B1045:C1045"/>
    <mergeCell ref="C930:U930"/>
    <mergeCell ref="B1043:C1043"/>
    <mergeCell ref="B1042:C1042"/>
    <mergeCell ref="B1049:P1049"/>
    <mergeCell ref="B1044:C1044"/>
    <mergeCell ref="O897:Q897"/>
    <mergeCell ref="B1030:C1030"/>
    <mergeCell ref="C925:U925"/>
    <mergeCell ref="C926:U926"/>
    <mergeCell ref="C927:U927"/>
    <mergeCell ref="Q1039:U1039"/>
    <mergeCell ref="Q1040:U1040"/>
    <mergeCell ref="Q1041:U1041"/>
    <mergeCell ref="C928:U928"/>
    <mergeCell ref="B1061:M1061"/>
    <mergeCell ref="N1061:U1061"/>
    <mergeCell ref="I1060:K1060"/>
    <mergeCell ref="Q1049:U1049"/>
    <mergeCell ref="B1046:C1046"/>
    <mergeCell ref="C1070:U1070"/>
    <mergeCell ref="B1067:E1067"/>
    <mergeCell ref="F1067:H1067"/>
    <mergeCell ref="I1067:K1067"/>
    <mergeCell ref="D1048:P1048"/>
    <mergeCell ref="L1066:N1066"/>
    <mergeCell ref="B1082:U1082"/>
    <mergeCell ref="C1083:U1083"/>
    <mergeCell ref="C1069:U1069"/>
    <mergeCell ref="L1079:Q1079"/>
    <mergeCell ref="R1079:U1079"/>
    <mergeCell ref="C1076:U1076"/>
    <mergeCell ref="C1075:U1075"/>
    <mergeCell ref="C1071:U1071"/>
    <mergeCell ref="B1073:M1073"/>
    <mergeCell ref="C1097:U1097"/>
    <mergeCell ref="B1081:E1081"/>
    <mergeCell ref="O1081:Q1081"/>
    <mergeCell ref="C1055:U1055"/>
    <mergeCell ref="F1059:H1059"/>
    <mergeCell ref="I1059:K1059"/>
    <mergeCell ref="B1060:E1060"/>
    <mergeCell ref="L1060:N1060"/>
    <mergeCell ref="R1066:U1066"/>
    <mergeCell ref="I1066:K1066"/>
    <mergeCell ref="L1058:Q1058"/>
    <mergeCell ref="R1058:U1058"/>
    <mergeCell ref="L1059:N1059"/>
    <mergeCell ref="R1059:U1059"/>
    <mergeCell ref="B1058:E1058"/>
    <mergeCell ref="B1068:U1068"/>
    <mergeCell ref="L1065:Q1065"/>
    <mergeCell ref="F1065:K1065"/>
    <mergeCell ref="F1060:H1060"/>
    <mergeCell ref="R1060:U1060"/>
    <mergeCell ref="C1072:U1072"/>
    <mergeCell ref="F1081:H1081"/>
    <mergeCell ref="I1081:K1081"/>
    <mergeCell ref="L1081:N1081"/>
    <mergeCell ref="B1059:E1059"/>
    <mergeCell ref="F1058:K1058"/>
    <mergeCell ref="R1065:U1065"/>
    <mergeCell ref="C1063:U1063"/>
    <mergeCell ref="O1059:Q1059"/>
    <mergeCell ref="C1064:U1064"/>
    <mergeCell ref="C1099:U1099"/>
    <mergeCell ref="B1080:E1080"/>
    <mergeCell ref="C1098:U1098"/>
    <mergeCell ref="C1101:U1101"/>
    <mergeCell ref="C1100:U1100"/>
    <mergeCell ref="C1103:U1103"/>
    <mergeCell ref="D1088:U1088"/>
    <mergeCell ref="D1089:U1089"/>
    <mergeCell ref="C1096:U1096"/>
    <mergeCell ref="D1094:U1094"/>
    <mergeCell ref="C1104:U1104"/>
    <mergeCell ref="C1102:U1102"/>
    <mergeCell ref="C1107:U1107"/>
    <mergeCell ref="C1108:U1108"/>
    <mergeCell ref="F1130:K1130"/>
    <mergeCell ref="L1130:Q1130"/>
    <mergeCell ref="B1110:U1110"/>
    <mergeCell ref="C1126:T1126"/>
    <mergeCell ref="C1113:O1113"/>
    <mergeCell ref="C1136:U1136"/>
    <mergeCell ref="C1135:U1135"/>
    <mergeCell ref="F1137:K1137"/>
    <mergeCell ref="L1137:Q1137"/>
    <mergeCell ref="R1130:U1130"/>
    <mergeCell ref="B1131:E1131"/>
    <mergeCell ref="N1133:U1133"/>
    <mergeCell ref="B1133:M1133"/>
    <mergeCell ref="F1131:H1131"/>
    <mergeCell ref="B1130:E1130"/>
    <mergeCell ref="C1118:O1118"/>
    <mergeCell ref="C1117:O1117"/>
    <mergeCell ref="P1122:U1122"/>
    <mergeCell ref="B1122:O1122"/>
    <mergeCell ref="P1121:U1121"/>
    <mergeCell ref="P1113:U1113"/>
    <mergeCell ref="P1114:U1114"/>
    <mergeCell ref="C1114:O1114"/>
    <mergeCell ref="C1119:O1119"/>
    <mergeCell ref="C1134:U1134"/>
    <mergeCell ref="B1137:E1137"/>
    <mergeCell ref="C1127:U1127"/>
    <mergeCell ref="C1128:U1128"/>
    <mergeCell ref="R1137:U1137"/>
    <mergeCell ref="O1131:Q1131"/>
    <mergeCell ref="R1131:U1131"/>
    <mergeCell ref="B1132:E1132"/>
    <mergeCell ref="F1132:H1132"/>
    <mergeCell ref="I1132:K1132"/>
    <mergeCell ref="B1124:U1124"/>
    <mergeCell ref="B1186:U1186"/>
    <mergeCell ref="C1187:U1187"/>
    <mergeCell ref="C1170:U1170"/>
    <mergeCell ref="C1171:U1171"/>
    <mergeCell ref="C1172:U1172"/>
    <mergeCell ref="C1174:U1174"/>
    <mergeCell ref="L1132:N1132"/>
    <mergeCell ref="O1132:Q1132"/>
    <mergeCell ref="R1132:U1132"/>
    <mergeCell ref="L1131:N1131"/>
    <mergeCell ref="I1131:K1131"/>
    <mergeCell ref="B1185:E1185"/>
    <mergeCell ref="F1185:H1185"/>
    <mergeCell ref="I1185:K1185"/>
    <mergeCell ref="C1179:U1179"/>
    <mergeCell ref="B1183:E1183"/>
    <mergeCell ref="F1183:K1183"/>
    <mergeCell ref="L1183:Q1183"/>
    <mergeCell ref="R1183:U1183"/>
    <mergeCell ref="C1180:U1180"/>
    <mergeCell ref="C1202:U1202"/>
    <mergeCell ref="C1203:U1203"/>
    <mergeCell ref="C1204:U1204"/>
    <mergeCell ref="B1198:E1198"/>
    <mergeCell ref="F1198:H1198"/>
    <mergeCell ref="I1198:K1198"/>
    <mergeCell ref="L1198:N1198"/>
    <mergeCell ref="O1198:Q1198"/>
    <mergeCell ref="R1198:U1198"/>
    <mergeCell ref="B1197:E1197"/>
    <mergeCell ref="F1197:H1197"/>
    <mergeCell ref="I1197:K1197"/>
    <mergeCell ref="L1197:N1197"/>
    <mergeCell ref="O1197:Q1197"/>
    <mergeCell ref="R1197:U1197"/>
    <mergeCell ref="C1188:U1188"/>
    <mergeCell ref="C1189:U1189"/>
    <mergeCell ref="C1190:U1190"/>
    <mergeCell ref="C1192:U1192"/>
    <mergeCell ref="B1196:E1196"/>
    <mergeCell ref="F1196:K1196"/>
    <mergeCell ref="L1196:Q1196"/>
    <mergeCell ref="R1196:U1196"/>
    <mergeCell ref="C1194:U1194"/>
    <mergeCell ref="C1193:U1193"/>
    <mergeCell ref="C1214:U1214"/>
    <mergeCell ref="C1215:U1215"/>
    <mergeCell ref="C1216:U1216"/>
    <mergeCell ref="R1211:U1211"/>
    <mergeCell ref="B1212:E1212"/>
    <mergeCell ref="F1212:H1212"/>
    <mergeCell ref="I1212:K1212"/>
    <mergeCell ref="L1212:N1212"/>
    <mergeCell ref="O1212:Q1212"/>
    <mergeCell ref="R1212:U1212"/>
    <mergeCell ref="B1211:E1211"/>
    <mergeCell ref="F1211:H1211"/>
    <mergeCell ref="I1211:K1211"/>
    <mergeCell ref="L1211:N1211"/>
    <mergeCell ref="O1211:Q1211"/>
    <mergeCell ref="B1213:U1213"/>
    <mergeCell ref="C1206:U1206"/>
    <mergeCell ref="B1210:E1210"/>
    <mergeCell ref="F1210:K1210"/>
    <mergeCell ref="L1210:Q1210"/>
    <mergeCell ref="R1210:U1210"/>
    <mergeCell ref="C1207:U1207"/>
    <mergeCell ref="D1234:P1234"/>
    <mergeCell ref="B1224:E1224"/>
    <mergeCell ref="B1226:U1226"/>
    <mergeCell ref="R1225:U1225"/>
    <mergeCell ref="O1225:Q1225"/>
    <mergeCell ref="B1225:E1225"/>
    <mergeCell ref="F1225:H1225"/>
    <mergeCell ref="L1225:N1225"/>
    <mergeCell ref="I1224:K1224"/>
    <mergeCell ref="L1224:N1224"/>
    <mergeCell ref="C1228:U1228"/>
    <mergeCell ref="C1229:U1229"/>
    <mergeCell ref="C1230:U1230"/>
    <mergeCell ref="B1232:U1232"/>
    <mergeCell ref="B1233:C1233"/>
    <mergeCell ref="Q1233:U1233"/>
    <mergeCell ref="C1227:U1227"/>
    <mergeCell ref="Q1234:U1234"/>
    <mergeCell ref="B1235:C1235"/>
    <mergeCell ref="Q1235:U1235"/>
    <mergeCell ref="D1237:P1237"/>
    <mergeCell ref="D1240:P1240"/>
    <mergeCell ref="D1239:P1239"/>
    <mergeCell ref="B1236:C1236"/>
    <mergeCell ref="Q1236:U1236"/>
    <mergeCell ref="B1234:C1234"/>
    <mergeCell ref="D1238:P1238"/>
    <mergeCell ref="Q1238:U1238"/>
    <mergeCell ref="Q1239:U1239"/>
    <mergeCell ref="Q1237:U1237"/>
    <mergeCell ref="B1240:C1240"/>
    <mergeCell ref="B1239:C1239"/>
    <mergeCell ref="B1237:C1237"/>
    <mergeCell ref="B1238:C1238"/>
    <mergeCell ref="Q1240:U1240"/>
    <mergeCell ref="Q1241:U1241"/>
    <mergeCell ref="Q1243:U1243"/>
    <mergeCell ref="C1246:U1246"/>
    <mergeCell ref="B1244:P1244"/>
    <mergeCell ref="D1243:P1243"/>
    <mergeCell ref="Q1244:U1244"/>
    <mergeCell ref="B1241:C1241"/>
    <mergeCell ref="D446:U446"/>
    <mergeCell ref="J431:N431"/>
    <mergeCell ref="O431:S431"/>
    <mergeCell ref="T431:U431"/>
    <mergeCell ref="T426:U426"/>
    <mergeCell ref="T428:U428"/>
    <mergeCell ref="J426:N426"/>
    <mergeCell ref="A428:D428"/>
    <mergeCell ref="O429:S429"/>
    <mergeCell ref="O430:S430"/>
    <mergeCell ref="E427:I427"/>
    <mergeCell ref="O426:S426"/>
    <mergeCell ref="O427:S427"/>
    <mergeCell ref="T427:U427"/>
    <mergeCell ref="J429:N429"/>
    <mergeCell ref="E421:I421"/>
    <mergeCell ref="E424:I424"/>
    <mergeCell ref="E423:I423"/>
    <mergeCell ref="O425:S425"/>
    <mergeCell ref="T424:U424"/>
    <mergeCell ref="T486:U486"/>
    <mergeCell ref="O482:S482"/>
    <mergeCell ref="T482:U482"/>
    <mergeCell ref="J486:N486"/>
    <mergeCell ref="E420:I420"/>
    <mergeCell ref="E426:I426"/>
    <mergeCell ref="J425:N425"/>
    <mergeCell ref="E425:I425"/>
    <mergeCell ref="E422:I422"/>
    <mergeCell ref="J421:N421"/>
    <mergeCell ref="E565:U565"/>
    <mergeCell ref="A479:D479"/>
    <mergeCell ref="J485:N485"/>
    <mergeCell ref="O485:S485"/>
    <mergeCell ref="O484:S484"/>
    <mergeCell ref="T483:U483"/>
    <mergeCell ref="O486:S486"/>
    <mergeCell ref="O483:S483"/>
    <mergeCell ref="T484:U484"/>
    <mergeCell ref="T485:U485"/>
    <mergeCell ref="O553:S553"/>
    <mergeCell ref="E519:U519"/>
    <mergeCell ref="J488:N488"/>
    <mergeCell ref="J527:N527"/>
    <mergeCell ref="E525:I525"/>
    <mergeCell ref="J525:N525"/>
    <mergeCell ref="T553:U553"/>
    <mergeCell ref="T525:U525"/>
    <mergeCell ref="T523:U523"/>
    <mergeCell ref="E535:I535"/>
    <mergeCell ref="C1258:I1258"/>
    <mergeCell ref="D1639:O1639"/>
    <mergeCell ref="E1640:O1640"/>
    <mergeCell ref="E1648:O1648"/>
    <mergeCell ref="R1260:U1260"/>
    <mergeCell ref="D1569:U1569"/>
    <mergeCell ref="C1268:U1268"/>
    <mergeCell ref="B1327:E1327"/>
    <mergeCell ref="C1333:U1333"/>
    <mergeCell ref="L1327:N1327"/>
    <mergeCell ref="C1932:U1932"/>
    <mergeCell ref="D1897:U1897"/>
    <mergeCell ref="L1903:R1903"/>
    <mergeCell ref="D1901:K1901"/>
    <mergeCell ref="D1887:U1887"/>
    <mergeCell ref="D1885:U1885"/>
    <mergeCell ref="D1886:U1886"/>
    <mergeCell ref="D1889:K1889"/>
    <mergeCell ref="D1892:K1892"/>
    <mergeCell ref="C1930:U1930"/>
    <mergeCell ref="P1753:U1753"/>
    <mergeCell ref="L1879:R1879"/>
    <mergeCell ref="D1884:U1884"/>
    <mergeCell ref="D1850:U1850"/>
    <mergeCell ref="D1867:K1867"/>
    <mergeCell ref="P1766:U1766"/>
    <mergeCell ref="L1881:R1881"/>
    <mergeCell ref="L1880:R1880"/>
    <mergeCell ref="D1881:K1881"/>
    <mergeCell ref="D1880:K1880"/>
    <mergeCell ref="O396:S396"/>
    <mergeCell ref="D390:U390"/>
    <mergeCell ref="A411:D411"/>
    <mergeCell ref="A413:D413"/>
    <mergeCell ref="T412:U412"/>
    <mergeCell ref="A401:D401"/>
    <mergeCell ref="E399:I399"/>
    <mergeCell ref="E401:I401"/>
    <mergeCell ref="A398:D398"/>
    <mergeCell ref="A400:D400"/>
    <mergeCell ref="P1754:U1754"/>
    <mergeCell ref="E410:I410"/>
    <mergeCell ref="O412:S412"/>
    <mergeCell ref="O413:S413"/>
    <mergeCell ref="C1269:U1269"/>
    <mergeCell ref="N1258:Q1258"/>
    <mergeCell ref="D1669:O1669"/>
    <mergeCell ref="T588:U588"/>
    <mergeCell ref="D677:U677"/>
    <mergeCell ref="B595:U595"/>
    <mergeCell ref="D1896:U1896"/>
    <mergeCell ref="D1890:K1890"/>
    <mergeCell ref="L1890:R1890"/>
    <mergeCell ref="D1894:K1894"/>
    <mergeCell ref="L1894:R1894"/>
    <mergeCell ref="D1893:K1893"/>
    <mergeCell ref="L1893:R1893"/>
    <mergeCell ref="L1892:R1892"/>
    <mergeCell ref="D1903:K1903"/>
    <mergeCell ref="E1649:O1649"/>
    <mergeCell ref="L1904:R1904"/>
    <mergeCell ref="F1253:K1253"/>
    <mergeCell ref="C1249:U1249"/>
    <mergeCell ref="C1250:U1250"/>
    <mergeCell ref="D1902:K1902"/>
    <mergeCell ref="D1899:R1899"/>
    <mergeCell ref="D1900:K1900"/>
    <mergeCell ref="L1900:R1900"/>
    <mergeCell ref="A1253:A1254"/>
    <mergeCell ref="R1254:U1254"/>
    <mergeCell ref="B1254:E1254"/>
    <mergeCell ref="L1254:N1254"/>
    <mergeCell ref="C1267:U1267"/>
    <mergeCell ref="E569:I569"/>
    <mergeCell ref="J569:N569"/>
    <mergeCell ref="B660:I660"/>
    <mergeCell ref="A1196:A1197"/>
    <mergeCell ref="A1210:A1211"/>
    <mergeCell ref="E590:I590"/>
    <mergeCell ref="B2162:B2168"/>
    <mergeCell ref="B2055:T2055"/>
    <mergeCell ref="K2066:L2066"/>
    <mergeCell ref="M2066:S2066"/>
    <mergeCell ref="E1449:O1449"/>
    <mergeCell ref="L1891:R1891"/>
    <mergeCell ref="C780:E781"/>
    <mergeCell ref="F780:I780"/>
    <mergeCell ref="R782:U782"/>
    <mergeCell ref="C1251:U1251"/>
    <mergeCell ref="R1255:U1255"/>
    <mergeCell ref="F1254:H1254"/>
    <mergeCell ref="I1254:K1254"/>
    <mergeCell ref="R1253:U1253"/>
    <mergeCell ref="D1242:P1242"/>
    <mergeCell ref="O1254:Q1254"/>
    <mergeCell ref="A524:D524"/>
    <mergeCell ref="E524:I524"/>
    <mergeCell ref="O525:S525"/>
    <mergeCell ref="A1223:A1224"/>
    <mergeCell ref="C777:U777"/>
    <mergeCell ref="B1223:E1223"/>
    <mergeCell ref="F1223:K1223"/>
    <mergeCell ref="L1223:Q1223"/>
    <mergeCell ref="R1223:U1223"/>
    <mergeCell ref="C787:E787"/>
    <mergeCell ref="E587:I587"/>
    <mergeCell ref="A570:D570"/>
    <mergeCell ref="E570:I570"/>
    <mergeCell ref="J570:N570"/>
    <mergeCell ref="T581:U581"/>
    <mergeCell ref="O581:S581"/>
    <mergeCell ref="D578:I578"/>
    <mergeCell ref="T570:U570"/>
    <mergeCell ref="T587:U587"/>
    <mergeCell ref="J580:N580"/>
    <mergeCell ref="T589:U589"/>
    <mergeCell ref="O596:S596"/>
    <mergeCell ref="O589:S589"/>
    <mergeCell ref="O616:T616"/>
    <mergeCell ref="J674:N674"/>
    <mergeCell ref="C662:U662"/>
    <mergeCell ref="J596:N596"/>
    <mergeCell ref="A598:D598"/>
    <mergeCell ref="E598:I598"/>
    <mergeCell ref="J598:N598"/>
    <mergeCell ref="A486:D486"/>
    <mergeCell ref="A484:D484"/>
    <mergeCell ref="E520:U520"/>
    <mergeCell ref="E498:U498"/>
    <mergeCell ref="A487:D487"/>
    <mergeCell ref="E507:U507"/>
    <mergeCell ref="E485:I485"/>
    <mergeCell ref="J487:N487"/>
    <mergeCell ref="A485:D485"/>
    <mergeCell ref="T487:U487"/>
    <mergeCell ref="A482:D482"/>
    <mergeCell ref="E480:I480"/>
    <mergeCell ref="J480:N480"/>
    <mergeCell ref="J484:N484"/>
    <mergeCell ref="A483:D483"/>
    <mergeCell ref="J483:N483"/>
    <mergeCell ref="E482:I482"/>
    <mergeCell ref="E484:I484"/>
    <mergeCell ref="E483:I483"/>
    <mergeCell ref="J482:N482"/>
    <mergeCell ref="D37:U37"/>
    <mergeCell ref="D41:U41"/>
    <mergeCell ref="D42:U42"/>
    <mergeCell ref="D64:T64"/>
    <mergeCell ref="C59:T59"/>
    <mergeCell ref="D49:U49"/>
    <mergeCell ref="D50:U50"/>
    <mergeCell ref="D52:U52"/>
    <mergeCell ref="C62:T62"/>
    <mergeCell ref="D48:U48"/>
    <mergeCell ref="D54:U54"/>
    <mergeCell ref="E90:U90"/>
    <mergeCell ref="C58:U58"/>
    <mergeCell ref="C63:T63"/>
    <mergeCell ref="C81:T81"/>
    <mergeCell ref="C78:T78"/>
    <mergeCell ref="D69:U69"/>
    <mergeCell ref="D55:U55"/>
    <mergeCell ref="E86:U86"/>
    <mergeCell ref="E82:U82"/>
    <mergeCell ref="D240:I240"/>
    <mergeCell ref="D72:U72"/>
    <mergeCell ref="D73:U73"/>
    <mergeCell ref="D75:U75"/>
    <mergeCell ref="D76:U76"/>
    <mergeCell ref="C135:U135"/>
    <mergeCell ref="P166:S166"/>
    <mergeCell ref="D232:N232"/>
    <mergeCell ref="P164:S164"/>
    <mergeCell ref="G130:K130"/>
    <mergeCell ref="G124:K124"/>
    <mergeCell ref="J234:N234"/>
    <mergeCell ref="J239:N239"/>
    <mergeCell ref="J240:N240"/>
    <mergeCell ref="J241:N241"/>
    <mergeCell ref="D237:I237"/>
    <mergeCell ref="A160:D160"/>
    <mergeCell ref="A234:C234"/>
    <mergeCell ref="A239:C239"/>
    <mergeCell ref="L127:P127"/>
    <mergeCell ref="D433:U433"/>
    <mergeCell ref="J452:N452"/>
    <mergeCell ref="D77:U77"/>
    <mergeCell ref="C70:T70"/>
    <mergeCell ref="C74:T74"/>
    <mergeCell ref="Q131:U131"/>
    <mergeCell ref="Q132:U132"/>
    <mergeCell ref="E91:U91"/>
    <mergeCell ref="Q124:U124"/>
    <mergeCell ref="L124:P124"/>
    <mergeCell ref="D46:U46"/>
    <mergeCell ref="D45:U45"/>
    <mergeCell ref="D47:U47"/>
    <mergeCell ref="D44:U44"/>
    <mergeCell ref="D43:U43"/>
    <mergeCell ref="A455:D455"/>
    <mergeCell ref="E455:I455"/>
    <mergeCell ref="J453:N453"/>
    <mergeCell ref="A426:D426"/>
    <mergeCell ref="A427:D427"/>
    <mergeCell ref="A561:D561"/>
    <mergeCell ref="C848:O848"/>
    <mergeCell ref="T576:U576"/>
    <mergeCell ref="T416:U416"/>
    <mergeCell ref="E454:I454"/>
    <mergeCell ref="O453:S453"/>
    <mergeCell ref="J451:N451"/>
    <mergeCell ref="E431:I431"/>
    <mergeCell ref="A449:D449"/>
    <mergeCell ref="E452:I452"/>
    <mergeCell ref="A422:D422"/>
    <mergeCell ref="J412:N412"/>
    <mergeCell ref="E417:I417"/>
    <mergeCell ref="A423:D423"/>
    <mergeCell ref="D32:U32"/>
    <mergeCell ref="C30:U30"/>
    <mergeCell ref="D33:U33"/>
    <mergeCell ref="D40:U40"/>
    <mergeCell ref="D53:U53"/>
    <mergeCell ref="D38:U38"/>
    <mergeCell ref="J413:N413"/>
    <mergeCell ref="A419:D419"/>
    <mergeCell ref="A420:D420"/>
    <mergeCell ref="T414:U414"/>
    <mergeCell ref="E415:I415"/>
    <mergeCell ref="A415:D415"/>
    <mergeCell ref="A417:D417"/>
    <mergeCell ref="J418:N418"/>
    <mergeCell ref="O416:S416"/>
    <mergeCell ref="O417:S417"/>
    <mergeCell ref="AC410:AF410"/>
    <mergeCell ref="Y402:AB402"/>
    <mergeCell ref="E413:I413"/>
    <mergeCell ref="O410:S410"/>
    <mergeCell ref="D407:U407"/>
    <mergeCell ref="J410:N410"/>
    <mergeCell ref="V402:X402"/>
    <mergeCell ref="T402:U402"/>
    <mergeCell ref="AC411:AF411"/>
    <mergeCell ref="AC402:AF402"/>
    <mergeCell ref="T147:U147"/>
    <mergeCell ref="K138:O138"/>
    <mergeCell ref="D444:U444"/>
    <mergeCell ref="E419:I419"/>
    <mergeCell ref="T410:U410"/>
    <mergeCell ref="T411:U411"/>
    <mergeCell ref="O260:S260"/>
    <mergeCell ref="E411:I411"/>
    <mergeCell ref="E412:I412"/>
    <mergeCell ref="J419:N419"/>
    <mergeCell ref="P142:S142"/>
    <mergeCell ref="T163:U163"/>
    <mergeCell ref="A120:F121"/>
    <mergeCell ref="G120:K121"/>
    <mergeCell ref="L120:P121"/>
    <mergeCell ref="Q123:U123"/>
    <mergeCell ref="K161:O161"/>
    <mergeCell ref="K139:O139"/>
    <mergeCell ref="K140:O140"/>
    <mergeCell ref="P147:S147"/>
    <mergeCell ref="K144:O144"/>
    <mergeCell ref="C158:U158"/>
    <mergeCell ref="L128:P128"/>
    <mergeCell ref="L129:P129"/>
    <mergeCell ref="L131:P131"/>
    <mergeCell ref="B231:U231"/>
    <mergeCell ref="T143:U143"/>
    <mergeCell ref="K160:O160"/>
    <mergeCell ref="P160:S160"/>
    <mergeCell ref="P141:S141"/>
    <mergeCell ref="C181:U181"/>
    <mergeCell ref="D241:I241"/>
    <mergeCell ref="A256:C257"/>
    <mergeCell ref="O232:S232"/>
    <mergeCell ref="J246:N246"/>
    <mergeCell ref="T242:U242"/>
    <mergeCell ref="C228:U228"/>
    <mergeCell ref="T244:U244"/>
    <mergeCell ref="D238:I238"/>
    <mergeCell ref="J237:N237"/>
    <mergeCell ref="O480:S480"/>
    <mergeCell ref="A478:D478"/>
    <mergeCell ref="J479:N479"/>
    <mergeCell ref="O479:S479"/>
    <mergeCell ref="D234:I234"/>
    <mergeCell ref="D239:I239"/>
    <mergeCell ref="E416:I416"/>
    <mergeCell ref="A418:D418"/>
    <mergeCell ref="E418:I418"/>
    <mergeCell ref="E414:I414"/>
    <mergeCell ref="E479:I479"/>
    <mergeCell ref="T481:U481"/>
    <mergeCell ref="T479:U479"/>
    <mergeCell ref="A421:D421"/>
    <mergeCell ref="A563:D563"/>
    <mergeCell ref="T563:U563"/>
    <mergeCell ref="A481:D481"/>
    <mergeCell ref="A480:D480"/>
    <mergeCell ref="A526:D526"/>
    <mergeCell ref="T455:U455"/>
    <mergeCell ref="T580:U580"/>
    <mergeCell ref="O578:S578"/>
    <mergeCell ref="T578:U578"/>
    <mergeCell ref="V475:AL475"/>
    <mergeCell ref="V477:AL477"/>
    <mergeCell ref="J478:N478"/>
    <mergeCell ref="O487:S487"/>
    <mergeCell ref="E539:U539"/>
    <mergeCell ref="E529:U529"/>
    <mergeCell ref="O522:S522"/>
    <mergeCell ref="O570:S570"/>
    <mergeCell ref="T569:U569"/>
    <mergeCell ref="A576:C576"/>
    <mergeCell ref="A587:D587"/>
    <mergeCell ref="J589:N589"/>
    <mergeCell ref="A571:D571"/>
    <mergeCell ref="E571:I571"/>
    <mergeCell ref="J571:N571"/>
    <mergeCell ref="E575:U575"/>
    <mergeCell ref="A577:C577"/>
    <mergeCell ref="O577:S577"/>
    <mergeCell ref="D576:I576"/>
    <mergeCell ref="T577:U577"/>
    <mergeCell ref="A578:C578"/>
    <mergeCell ref="J577:N577"/>
    <mergeCell ref="D577:I577"/>
    <mergeCell ref="T260:U260"/>
    <mergeCell ref="T259:U259"/>
    <mergeCell ref="E267:U267"/>
    <mergeCell ref="G270:O270"/>
    <mergeCell ref="G271:O271"/>
    <mergeCell ref="J576:N576"/>
    <mergeCell ref="O562:S562"/>
    <mergeCell ref="O455:S455"/>
    <mergeCell ref="O452:S452"/>
    <mergeCell ref="T452:U452"/>
    <mergeCell ref="C612:U612"/>
    <mergeCell ref="O579:S579"/>
    <mergeCell ref="T586:U586"/>
    <mergeCell ref="O323:S323"/>
    <mergeCell ref="O571:S571"/>
    <mergeCell ref="T333:U333"/>
    <mergeCell ref="T579:U579"/>
    <mergeCell ref="J579:N579"/>
    <mergeCell ref="O415:S415"/>
    <mergeCell ref="D445:U445"/>
    <mergeCell ref="E268:U268"/>
    <mergeCell ref="P275:U275"/>
    <mergeCell ref="O332:S332"/>
    <mergeCell ref="A579:C579"/>
    <mergeCell ref="A580:C580"/>
    <mergeCell ref="A590:D590"/>
    <mergeCell ref="J590:N590"/>
    <mergeCell ref="E584:U584"/>
    <mergeCell ref="G272:O272"/>
    <mergeCell ref="A569:D569"/>
    <mergeCell ref="O622:T622"/>
    <mergeCell ref="J599:N599"/>
    <mergeCell ref="O599:S599"/>
    <mergeCell ref="E746:M746"/>
    <mergeCell ref="T598:U598"/>
    <mergeCell ref="O598:S598"/>
    <mergeCell ref="T599:U599"/>
    <mergeCell ref="C663:U663"/>
    <mergeCell ref="N704:Q704"/>
    <mergeCell ref="N716:Q716"/>
    <mergeCell ref="B715:B716"/>
    <mergeCell ref="J716:M716"/>
    <mergeCell ref="E593:U593"/>
    <mergeCell ref="A596:D596"/>
    <mergeCell ref="O597:S597"/>
    <mergeCell ref="E597:I597"/>
    <mergeCell ref="E596:I596"/>
    <mergeCell ref="J703:Q703"/>
    <mergeCell ref="A599:D599"/>
    <mergeCell ref="E599:I599"/>
    <mergeCell ref="A259:C259"/>
    <mergeCell ref="O259:S259"/>
    <mergeCell ref="Q125:U125"/>
    <mergeCell ref="Q127:U127"/>
    <mergeCell ref="Q129:U129"/>
    <mergeCell ref="Q130:U130"/>
    <mergeCell ref="T258:U258"/>
    <mergeCell ref="T234:U234"/>
    <mergeCell ref="O233:S233"/>
    <mergeCell ref="T232:U233"/>
    <mergeCell ref="G125:K125"/>
    <mergeCell ref="G127:K127"/>
    <mergeCell ref="G128:K128"/>
    <mergeCell ref="L130:P130"/>
    <mergeCell ref="K145:O145"/>
    <mergeCell ref="Q133:U133"/>
    <mergeCell ref="G133:K133"/>
    <mergeCell ref="G131:K131"/>
    <mergeCell ref="T142:U142"/>
    <mergeCell ref="K143:O143"/>
    <mergeCell ref="L133:P133"/>
    <mergeCell ref="T161:U161"/>
    <mergeCell ref="T162:U162"/>
    <mergeCell ref="E138:J138"/>
    <mergeCell ref="E139:J139"/>
    <mergeCell ref="E140:J140"/>
    <mergeCell ref="D151:U151"/>
    <mergeCell ref="E141:J141"/>
    <mergeCell ref="P145:S145"/>
    <mergeCell ref="T160:U160"/>
    <mergeCell ref="L123:P123"/>
    <mergeCell ref="P167:S167"/>
    <mergeCell ref="P168:S168"/>
    <mergeCell ref="P169:S169"/>
    <mergeCell ref="P144:S144"/>
    <mergeCell ref="E145:J145"/>
    <mergeCell ref="E160:J160"/>
    <mergeCell ref="E161:J161"/>
    <mergeCell ref="K163:O163"/>
    <mergeCell ref="D152:U152"/>
    <mergeCell ref="O256:S256"/>
    <mergeCell ref="G129:K129"/>
    <mergeCell ref="D92:U92"/>
    <mergeCell ref="L125:P125"/>
    <mergeCell ref="L126:P126"/>
    <mergeCell ref="G123:K123"/>
    <mergeCell ref="Q122:U122"/>
    <mergeCell ref="G122:K122"/>
    <mergeCell ref="G126:K126"/>
    <mergeCell ref="L122:P122"/>
    <mergeCell ref="A260:C260"/>
    <mergeCell ref="G132:K132"/>
    <mergeCell ref="L132:P132"/>
    <mergeCell ref="J257:N257"/>
    <mergeCell ref="Q126:U126"/>
    <mergeCell ref="Q128:U128"/>
    <mergeCell ref="T138:U138"/>
    <mergeCell ref="T139:U139"/>
    <mergeCell ref="P162:S162"/>
    <mergeCell ref="P161:S161"/>
    <mergeCell ref="E273:F273"/>
    <mergeCell ref="J247:N247"/>
    <mergeCell ref="O246:S246"/>
    <mergeCell ref="J260:N260"/>
    <mergeCell ref="O247:S247"/>
    <mergeCell ref="C249:U249"/>
    <mergeCell ref="C250:U250"/>
    <mergeCell ref="D246:I246"/>
    <mergeCell ref="A247:C247"/>
    <mergeCell ref="A258:C258"/>
    <mergeCell ref="D316:U316"/>
    <mergeCell ref="A262:C262"/>
    <mergeCell ref="T263:U263"/>
    <mergeCell ref="D265:U265"/>
    <mergeCell ref="D262:I262"/>
    <mergeCell ref="P274:U274"/>
    <mergeCell ref="D263:I263"/>
    <mergeCell ref="P273:U273"/>
    <mergeCell ref="J262:N262"/>
    <mergeCell ref="O263:S263"/>
    <mergeCell ref="T332:U332"/>
    <mergeCell ref="T319:U320"/>
    <mergeCell ref="O321:S321"/>
    <mergeCell ref="O331:S331"/>
    <mergeCell ref="O330:S330"/>
    <mergeCell ref="P292:U292"/>
    <mergeCell ref="G299:O299"/>
    <mergeCell ref="P299:U299"/>
    <mergeCell ref="G307:O307"/>
    <mergeCell ref="D315:U315"/>
    <mergeCell ref="D332:I332"/>
    <mergeCell ref="D324:I324"/>
    <mergeCell ref="J332:N332"/>
    <mergeCell ref="J322:N322"/>
    <mergeCell ref="J323:N323"/>
    <mergeCell ref="D330:N330"/>
    <mergeCell ref="D327:U327"/>
    <mergeCell ref="T324:U324"/>
    <mergeCell ref="O322:S322"/>
    <mergeCell ref="E299:F299"/>
    <mergeCell ref="A330:C331"/>
    <mergeCell ref="D323:I323"/>
    <mergeCell ref="D334:I334"/>
    <mergeCell ref="J334:N334"/>
    <mergeCell ref="J331:N331"/>
    <mergeCell ref="J324:N324"/>
    <mergeCell ref="D328:U328"/>
    <mergeCell ref="T330:U331"/>
    <mergeCell ref="A324:C324"/>
    <mergeCell ref="D321:I321"/>
    <mergeCell ref="D322:I322"/>
    <mergeCell ref="D331:I331"/>
    <mergeCell ref="A321:C321"/>
    <mergeCell ref="A322:C322"/>
    <mergeCell ref="J333:N333"/>
    <mergeCell ref="A335:C335"/>
    <mergeCell ref="AF344:AI344"/>
    <mergeCell ref="Y362:AB362"/>
    <mergeCell ref="D333:I333"/>
    <mergeCell ref="AC362:AF362"/>
    <mergeCell ref="J359:N359"/>
    <mergeCell ref="T362:U362"/>
    <mergeCell ref="J362:N362"/>
    <mergeCell ref="A358:D358"/>
    <mergeCell ref="I756:M756"/>
    <mergeCell ref="T640:U640"/>
    <mergeCell ref="AF345:AI345"/>
    <mergeCell ref="AC596:AF596"/>
    <mergeCell ref="E709:U709"/>
    <mergeCell ref="C715:E716"/>
    <mergeCell ref="D721:U721"/>
    <mergeCell ref="B743:I743"/>
    <mergeCell ref="AC597:AF597"/>
    <mergeCell ref="AC600:AF600"/>
    <mergeCell ref="O334:S334"/>
    <mergeCell ref="A319:C320"/>
    <mergeCell ref="B640:I640"/>
    <mergeCell ref="J640:N640"/>
    <mergeCell ref="O640:S640"/>
    <mergeCell ref="O333:S333"/>
    <mergeCell ref="A323:C323"/>
    <mergeCell ref="A332:C332"/>
    <mergeCell ref="A333:C333"/>
    <mergeCell ref="A334:C334"/>
    <mergeCell ref="C782:E782"/>
    <mergeCell ref="I757:M757"/>
    <mergeCell ref="R793:U793"/>
    <mergeCell ref="R788:U788"/>
    <mergeCell ref="F788:I788"/>
    <mergeCell ref="N788:Q788"/>
    <mergeCell ref="D791:U791"/>
    <mergeCell ref="I760:M760"/>
    <mergeCell ref="I759:M759"/>
    <mergeCell ref="N759:R759"/>
    <mergeCell ref="F799:I799"/>
    <mergeCell ref="J799:M799"/>
    <mergeCell ref="F804:I804"/>
    <mergeCell ref="F807:I807"/>
    <mergeCell ref="N795:Q795"/>
    <mergeCell ref="B772:H772"/>
    <mergeCell ref="F793:I793"/>
    <mergeCell ref="J793:Q793"/>
    <mergeCell ref="C783:E783"/>
    <mergeCell ref="C784:E784"/>
    <mergeCell ref="B804:B805"/>
    <mergeCell ref="J806:M806"/>
    <mergeCell ref="R805:U805"/>
    <mergeCell ref="I816:M816"/>
    <mergeCell ref="I822:M822"/>
    <mergeCell ref="B815:U815"/>
    <mergeCell ref="A819:H819"/>
    <mergeCell ref="A821:H821"/>
    <mergeCell ref="A822:H822"/>
    <mergeCell ref="A820:H820"/>
    <mergeCell ref="C932:U932"/>
    <mergeCell ref="Q1048:U1048"/>
    <mergeCell ref="B1040:C1040"/>
    <mergeCell ref="B1041:C1041"/>
    <mergeCell ref="Q1047:U1047"/>
    <mergeCell ref="Q1045:U1045"/>
    <mergeCell ref="Q1046:U1046"/>
    <mergeCell ref="D1042:P1042"/>
    <mergeCell ref="D1045:P1045"/>
    <mergeCell ref="D1046:P1046"/>
    <mergeCell ref="R1081:U1081"/>
    <mergeCell ref="L1080:N1080"/>
    <mergeCell ref="O1080:Q1080"/>
    <mergeCell ref="B1048:C1048"/>
    <mergeCell ref="R1080:U1080"/>
    <mergeCell ref="B1066:E1066"/>
    <mergeCell ref="F1066:H1066"/>
    <mergeCell ref="B1079:E1079"/>
    <mergeCell ref="R1067:U1067"/>
    <mergeCell ref="F1079:K1079"/>
    <mergeCell ref="C1062:U1062"/>
    <mergeCell ref="B1065:E1065"/>
    <mergeCell ref="C1086:U1086"/>
    <mergeCell ref="C1091:U1091"/>
    <mergeCell ref="O1066:Q1066"/>
    <mergeCell ref="F1080:H1080"/>
    <mergeCell ref="L1067:N1067"/>
    <mergeCell ref="I1080:K1080"/>
    <mergeCell ref="O1067:Q1067"/>
    <mergeCell ref="C1074:U1074"/>
    <mergeCell ref="P1112:U1112"/>
    <mergeCell ref="D1093:U1093"/>
    <mergeCell ref="P1115:U1115"/>
    <mergeCell ref="P1116:U1116"/>
    <mergeCell ref="P1117:U1117"/>
    <mergeCell ref="C1084:U1084"/>
    <mergeCell ref="C1085:U1085"/>
    <mergeCell ref="C1087:U1087"/>
    <mergeCell ref="C1092:U1092"/>
    <mergeCell ref="C1105:U1105"/>
    <mergeCell ref="A1272:A1273"/>
    <mergeCell ref="P1118:U1118"/>
    <mergeCell ref="R1273:U1273"/>
    <mergeCell ref="C1270:U1270"/>
    <mergeCell ref="P1119:U1119"/>
    <mergeCell ref="P1120:U1120"/>
    <mergeCell ref="F1273:H1273"/>
    <mergeCell ref="I1273:K1273"/>
    <mergeCell ref="B1272:E1272"/>
    <mergeCell ref="F1272:K1272"/>
    <mergeCell ref="F1274:H1274"/>
    <mergeCell ref="I1274:K1274"/>
    <mergeCell ref="L1272:Q1272"/>
    <mergeCell ref="R1272:U1272"/>
    <mergeCell ref="B1274:E1274"/>
    <mergeCell ref="B1276:U1276"/>
    <mergeCell ref="O1274:Q1274"/>
    <mergeCell ref="V226:AM226"/>
    <mergeCell ref="AF343:AI343"/>
    <mergeCell ref="AB343:AE343"/>
    <mergeCell ref="V343:AA343"/>
    <mergeCell ref="B1275:U1275"/>
    <mergeCell ref="L1273:N1273"/>
    <mergeCell ref="L1274:N1274"/>
    <mergeCell ref="B1273:E1273"/>
    <mergeCell ref="O1273:Q1273"/>
    <mergeCell ref="AB344:AE344"/>
    <mergeCell ref="V44:AL44"/>
    <mergeCell ref="V708:AM708"/>
    <mergeCell ref="V600:X600"/>
    <mergeCell ref="W711:X711"/>
    <mergeCell ref="V596:X596"/>
    <mergeCell ref="C1290:M1290"/>
    <mergeCell ref="B1279:U1279"/>
    <mergeCell ref="V1048:AD1048"/>
    <mergeCell ref="V53:AL53"/>
    <mergeCell ref="V52:AL52"/>
    <mergeCell ref="V51:AL51"/>
    <mergeCell ref="AC450:AF450"/>
    <mergeCell ref="AC757:AF757"/>
    <mergeCell ref="V228:AM228"/>
    <mergeCell ref="V345:AA345"/>
    <mergeCell ref="C1291:M1291"/>
    <mergeCell ref="C1286:U1286"/>
    <mergeCell ref="C1287:U1287"/>
    <mergeCell ref="C1282:U1282"/>
    <mergeCell ref="Y600:AB600"/>
    <mergeCell ref="C1292:M1292"/>
    <mergeCell ref="P1939:U1939"/>
    <mergeCell ref="F1463:O1463"/>
    <mergeCell ref="E1450:O1450"/>
    <mergeCell ref="F1457:O1457"/>
    <mergeCell ref="F1461:O1461"/>
    <mergeCell ref="D1904:K1904"/>
    <mergeCell ref="D1879:K1879"/>
    <mergeCell ref="P1632:U1632"/>
    <mergeCell ref="D1907:U1907"/>
    <mergeCell ref="P1940:U1940"/>
    <mergeCell ref="P1941:U1941"/>
    <mergeCell ref="C1939:N1939"/>
    <mergeCell ref="C1940:N1940"/>
    <mergeCell ref="C1941:N1941"/>
    <mergeCell ref="L2059:U2059"/>
    <mergeCell ref="C1945:N1945"/>
    <mergeCell ref="P1945:U1945"/>
    <mergeCell ref="C1946:N1946"/>
    <mergeCell ref="P1946:U1946"/>
    <mergeCell ref="B2004:U2004"/>
    <mergeCell ref="L2065:U2065"/>
    <mergeCell ref="B2052:U2052"/>
    <mergeCell ref="B2056:T2056"/>
    <mergeCell ref="B2057:T2057"/>
    <mergeCell ref="B2053:U2053"/>
    <mergeCell ref="B2005:U2005"/>
    <mergeCell ref="L2060:U2060"/>
    <mergeCell ref="L2064:U2064"/>
    <mergeCell ref="V752:AI752"/>
    <mergeCell ref="Y711:AH711"/>
    <mergeCell ref="AI711:AN711"/>
    <mergeCell ref="W712:AH712"/>
    <mergeCell ref="AI712:AN712"/>
    <mergeCell ref="V599:X599"/>
    <mergeCell ref="Y599:AB599"/>
    <mergeCell ref="AC599:AF599"/>
    <mergeCell ref="Y597:AB597"/>
    <mergeCell ref="Y596:AB596"/>
    <mergeCell ref="Y598:AB598"/>
    <mergeCell ref="AC598:AF598"/>
    <mergeCell ref="V597:X597"/>
    <mergeCell ref="V598:X598"/>
    <mergeCell ref="V756:X756"/>
    <mergeCell ref="V759:X759"/>
    <mergeCell ref="Y759:AB759"/>
    <mergeCell ref="AC759:AF759"/>
    <mergeCell ref="Y756:AB756"/>
    <mergeCell ref="AC756:AF756"/>
    <mergeCell ref="V757:X757"/>
    <mergeCell ref="Y757:AB757"/>
    <mergeCell ref="Y760:AB760"/>
    <mergeCell ref="AC760:AF760"/>
    <mergeCell ref="V761:X761"/>
    <mergeCell ref="Y761:AB761"/>
    <mergeCell ref="AC761:AF761"/>
    <mergeCell ref="Y758:AB758"/>
    <mergeCell ref="AC758:AF758"/>
    <mergeCell ref="V758:X758"/>
    <mergeCell ref="V760:X760"/>
    <mergeCell ref="Y762:AB762"/>
    <mergeCell ref="S770:U770"/>
    <mergeCell ref="Y770:AB770"/>
    <mergeCell ref="V769:X769"/>
    <mergeCell ref="Y769:AB769"/>
    <mergeCell ref="S769:U769"/>
    <mergeCell ref="S762:U762"/>
    <mergeCell ref="AC770:AF770"/>
    <mergeCell ref="AC762:AF762"/>
    <mergeCell ref="B768:U768"/>
    <mergeCell ref="C764:U764"/>
    <mergeCell ref="C765:U765"/>
    <mergeCell ref="AC769:AF769"/>
    <mergeCell ref="B770:H770"/>
    <mergeCell ref="I770:M770"/>
    <mergeCell ref="I762:M762"/>
    <mergeCell ref="N762:R762"/>
    <mergeCell ref="V771:X771"/>
    <mergeCell ref="Y771:AB771"/>
    <mergeCell ref="AC771:AF771"/>
    <mergeCell ref="V772:X772"/>
    <mergeCell ref="Y1595:AB1595"/>
    <mergeCell ref="AC1595:AF1595"/>
    <mergeCell ref="Y772:AB772"/>
    <mergeCell ref="Y795:AB795"/>
    <mergeCell ref="AC795:AF795"/>
    <mergeCell ref="V833:X833"/>
    <mergeCell ref="V1596:X1596"/>
    <mergeCell ref="Y1596:AB1596"/>
    <mergeCell ref="AC1596:AF1596"/>
    <mergeCell ref="AC772:AF772"/>
    <mergeCell ref="V1092:AM1092"/>
    <mergeCell ref="V795:X795"/>
    <mergeCell ref="V796:X796"/>
    <mergeCell ref="Y796:AB796"/>
    <mergeCell ref="V773:X773"/>
    <mergeCell ref="Y773:AB773"/>
    <mergeCell ref="AC1600:AF1600"/>
    <mergeCell ref="V1597:X1597"/>
    <mergeCell ref="Y1597:AB1597"/>
    <mergeCell ref="AC1597:AF1597"/>
    <mergeCell ref="V1598:X1598"/>
    <mergeCell ref="Y1598:AB1598"/>
    <mergeCell ref="AC1598:AF1598"/>
    <mergeCell ref="Y1601:AB1601"/>
    <mergeCell ref="AC1601:AF1601"/>
    <mergeCell ref="V1602:X1602"/>
    <mergeCell ref="Y1602:AB1602"/>
    <mergeCell ref="AC1602:AF1602"/>
    <mergeCell ref="V1599:X1599"/>
    <mergeCell ref="Y1599:AB1599"/>
    <mergeCell ref="AC1599:AF1599"/>
    <mergeCell ref="V1600:X1600"/>
    <mergeCell ref="Y1600:AB1600"/>
    <mergeCell ref="V1608:X1608"/>
    <mergeCell ref="Y1608:AB1608"/>
    <mergeCell ref="AC1608:AF1608"/>
    <mergeCell ref="V1605:X1605"/>
    <mergeCell ref="Y1605:AB1605"/>
    <mergeCell ref="AC1605:AF1605"/>
    <mergeCell ref="V1606:X1606"/>
    <mergeCell ref="Y1606:AB1606"/>
    <mergeCell ref="AC1606:AF1606"/>
    <mergeCell ref="Y1607:AB1607"/>
    <mergeCell ref="AC1607:AF1607"/>
    <mergeCell ref="V1603:X1603"/>
    <mergeCell ref="Y1603:AB1603"/>
    <mergeCell ref="AC1603:AF1603"/>
    <mergeCell ref="V1604:X1604"/>
    <mergeCell ref="Y1604:AB1604"/>
    <mergeCell ref="AC1604:AF1604"/>
    <mergeCell ref="V1607:X1607"/>
    <mergeCell ref="V1601:X1601"/>
    <mergeCell ref="V1595:X1595"/>
    <mergeCell ref="V770:X770"/>
    <mergeCell ref="V762:X762"/>
    <mergeCell ref="P138:S138"/>
    <mergeCell ref="P139:S139"/>
    <mergeCell ref="P140:S140"/>
    <mergeCell ref="T144:U144"/>
    <mergeCell ref="T145:U145"/>
    <mergeCell ref="T146:U146"/>
    <mergeCell ref="T169:U169"/>
    <mergeCell ref="V358:X358"/>
    <mergeCell ref="V235:X235"/>
    <mergeCell ref="V236:X236"/>
    <mergeCell ref="V239:X239"/>
    <mergeCell ref="V242:X242"/>
    <mergeCell ref="V247:X247"/>
    <mergeCell ref="V344:AA344"/>
    <mergeCell ref="V342:AA342"/>
    <mergeCell ref="Y358:AB358"/>
    <mergeCell ref="Y247:AB247"/>
    <mergeCell ref="AB341:AE341"/>
    <mergeCell ref="V253:AL253"/>
    <mergeCell ref="AC358:AF358"/>
    <mergeCell ref="AC241:AF241"/>
    <mergeCell ref="Y242:AB242"/>
    <mergeCell ref="AC242:AF242"/>
    <mergeCell ref="Y243:AB243"/>
    <mergeCell ref="AF342:AI342"/>
    <mergeCell ref="V316:AL316"/>
    <mergeCell ref="V359:X359"/>
    <mergeCell ref="Y359:AB359"/>
    <mergeCell ref="AC359:AF359"/>
    <mergeCell ref="AC235:AF235"/>
    <mergeCell ref="V237:X237"/>
    <mergeCell ref="Y237:AB237"/>
    <mergeCell ref="AC237:AF237"/>
    <mergeCell ref="AB345:AE345"/>
    <mergeCell ref="Y235:AB235"/>
    <mergeCell ref="Y238:AB238"/>
    <mergeCell ref="V360:X360"/>
    <mergeCell ref="Y360:AB360"/>
    <mergeCell ref="AC360:AF360"/>
    <mergeCell ref="Y233:AB233"/>
    <mergeCell ref="AC233:AF233"/>
    <mergeCell ref="V234:X234"/>
    <mergeCell ref="Y234:AB234"/>
    <mergeCell ref="AC234:AF234"/>
    <mergeCell ref="AC236:AF236"/>
    <mergeCell ref="V233:X233"/>
    <mergeCell ref="AC238:AF238"/>
    <mergeCell ref="Y239:AB239"/>
    <mergeCell ref="AC239:AF239"/>
    <mergeCell ref="V240:X240"/>
    <mergeCell ref="Y240:AB240"/>
    <mergeCell ref="AC240:AF240"/>
    <mergeCell ref="V238:X238"/>
    <mergeCell ref="AC243:AF243"/>
    <mergeCell ref="V241:X241"/>
    <mergeCell ref="AC244:AF244"/>
    <mergeCell ref="V244:X244"/>
    <mergeCell ref="V245:X245"/>
    <mergeCell ref="Y245:AB245"/>
    <mergeCell ref="AC245:AF245"/>
    <mergeCell ref="Y241:AB241"/>
    <mergeCell ref="Y244:AB244"/>
    <mergeCell ref="V246:X246"/>
    <mergeCell ref="Y246:AB246"/>
    <mergeCell ref="AC246:AF246"/>
    <mergeCell ref="AC247:AF247"/>
    <mergeCell ref="Y401:AB401"/>
    <mergeCell ref="AC401:AF401"/>
    <mergeCell ref="V363:X363"/>
    <mergeCell ref="Y363:AB363"/>
    <mergeCell ref="AC363:AF363"/>
    <mergeCell ref="V401:X401"/>
    <mergeCell ref="V361:X361"/>
    <mergeCell ref="V362:X362"/>
    <mergeCell ref="V398:X398"/>
    <mergeCell ref="G275:O275"/>
    <mergeCell ref="G276:O276"/>
    <mergeCell ref="G277:O277"/>
    <mergeCell ref="G278:O278"/>
    <mergeCell ref="P279:U279"/>
    <mergeCell ref="E283:U283"/>
    <mergeCell ref="E284:U284"/>
    <mergeCell ref="E276:F276"/>
    <mergeCell ref="E277:F277"/>
    <mergeCell ref="E275:F275"/>
    <mergeCell ref="P276:U276"/>
    <mergeCell ref="P277:U277"/>
    <mergeCell ref="P278:U278"/>
    <mergeCell ref="E278:F278"/>
    <mergeCell ref="E279:F279"/>
    <mergeCell ref="E280:F280"/>
    <mergeCell ref="P281:U281"/>
    <mergeCell ref="E286:F286"/>
    <mergeCell ref="G286:O286"/>
    <mergeCell ref="P286:U286"/>
    <mergeCell ref="G279:O279"/>
    <mergeCell ref="G280:O280"/>
    <mergeCell ref="E281:O281"/>
    <mergeCell ref="P280:U280"/>
    <mergeCell ref="E287:F287"/>
    <mergeCell ref="G287:O287"/>
    <mergeCell ref="P287:U287"/>
    <mergeCell ref="E288:F288"/>
    <mergeCell ref="G288:O288"/>
    <mergeCell ref="E289:F289"/>
    <mergeCell ref="G289:O289"/>
    <mergeCell ref="P289:U289"/>
    <mergeCell ref="P288:U288"/>
    <mergeCell ref="E290:F290"/>
    <mergeCell ref="G290:O290"/>
    <mergeCell ref="P290:U290"/>
    <mergeCell ref="G300:O300"/>
    <mergeCell ref="P300:U300"/>
    <mergeCell ref="E291:F291"/>
    <mergeCell ref="G291:O291"/>
    <mergeCell ref="P291:U291"/>
    <mergeCell ref="E292:F292"/>
    <mergeCell ref="G292:O292"/>
    <mergeCell ref="E293:O293"/>
    <mergeCell ref="P293:U293"/>
    <mergeCell ref="E295:U295"/>
    <mergeCell ref="E296:U296"/>
    <mergeCell ref="E298:F298"/>
    <mergeCell ref="G298:O298"/>
    <mergeCell ref="P298:U298"/>
    <mergeCell ref="E300:F300"/>
    <mergeCell ref="E308:F308"/>
    <mergeCell ref="G308:O308"/>
    <mergeCell ref="P308:U308"/>
    <mergeCell ref="E309:F309"/>
    <mergeCell ref="G309:O309"/>
    <mergeCell ref="E304:U304"/>
    <mergeCell ref="E306:F306"/>
    <mergeCell ref="G306:O306"/>
    <mergeCell ref="P306:U306"/>
    <mergeCell ref="E307:F307"/>
    <mergeCell ref="P309:U309"/>
    <mergeCell ref="E310:F310"/>
    <mergeCell ref="G310:O310"/>
    <mergeCell ref="P310:U310"/>
    <mergeCell ref="E311:F311"/>
    <mergeCell ref="G311:O311"/>
    <mergeCell ref="P311:U311"/>
    <mergeCell ref="P307:U307"/>
    <mergeCell ref="E312:F312"/>
    <mergeCell ref="G312:O312"/>
    <mergeCell ref="P312:U312"/>
    <mergeCell ref="V400:X400"/>
    <mergeCell ref="Y400:AB400"/>
    <mergeCell ref="AC400:AF400"/>
    <mergeCell ref="E313:O313"/>
    <mergeCell ref="P313:U313"/>
    <mergeCell ref="Y361:AB361"/>
    <mergeCell ref="AC361:AF361"/>
    <mergeCell ref="Y398:AB398"/>
    <mergeCell ref="AC398:AF398"/>
    <mergeCell ref="V399:X399"/>
    <mergeCell ref="Y399:AB399"/>
    <mergeCell ref="AC399:AF399"/>
    <mergeCell ref="V396:X396"/>
    <mergeCell ref="Y396:AB396"/>
    <mergeCell ref="AC396:AF396"/>
    <mergeCell ref="V397:X397"/>
    <mergeCell ref="Y397:AB397"/>
    <mergeCell ref="AC397:AF397"/>
    <mergeCell ref="V394:X394"/>
    <mergeCell ref="Y394:AB394"/>
    <mergeCell ref="AC394:AF394"/>
    <mergeCell ref="V395:X395"/>
    <mergeCell ref="Y395:AB395"/>
    <mergeCell ref="AC395:AF395"/>
    <mergeCell ref="V384:X384"/>
    <mergeCell ref="Y384:AB384"/>
    <mergeCell ref="AC384:AF384"/>
    <mergeCell ref="V385:X385"/>
    <mergeCell ref="Y385:AB385"/>
    <mergeCell ref="AC385:AF385"/>
    <mergeCell ref="V382:X382"/>
    <mergeCell ref="Y382:AB382"/>
    <mergeCell ref="AC382:AF382"/>
    <mergeCell ref="V383:X383"/>
    <mergeCell ref="Y383:AB383"/>
    <mergeCell ref="AC383:AF383"/>
  </mergeCells>
  <printOptions/>
  <pageMargins left="0.7" right="0.6410256410256411" top="0.75" bottom="0.3580729166666667" header="0.3" footer="0.3"/>
  <pageSetup firstPageNumber="11" useFirstPageNumber="1" horizontalDpi="600" verticalDpi="600" orientation="portrait" paperSize="9" r:id="rId2"/>
  <headerFooter>
    <oddFooter>&amp;L&amp;R&amp;P</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B1:N527"/>
  <sheetViews>
    <sheetView zoomScale="110" zoomScaleNormal="110" zoomScalePageLayoutView="0" workbookViewId="0" topLeftCell="A1">
      <selection activeCell="D11" sqref="D11"/>
    </sheetView>
  </sheetViews>
  <sheetFormatPr defaultColWidth="9.140625" defaultRowHeight="15"/>
  <cols>
    <col min="1" max="1" width="1.421875" style="122" customWidth="1"/>
    <col min="2" max="2" width="4.7109375" style="122" customWidth="1"/>
    <col min="3" max="3" width="20.57421875" style="122" customWidth="1"/>
    <col min="4" max="4" width="56.421875" style="449" customWidth="1"/>
    <col min="5" max="5" width="20.7109375" style="122" customWidth="1"/>
    <col min="6" max="6" width="17.140625" style="122" customWidth="1"/>
    <col min="7" max="7" width="15.57421875" style="438" customWidth="1"/>
    <col min="8" max="8" width="16.140625" style="122" customWidth="1"/>
    <col min="9" max="9" width="15.140625" style="122" customWidth="1"/>
    <col min="10" max="10" width="12.57421875" style="122" customWidth="1"/>
    <col min="11" max="11" width="15.140625" style="122" customWidth="1"/>
    <col min="12" max="12" width="11.7109375" style="122" customWidth="1"/>
    <col min="13" max="13" width="13.421875" style="122" bestFit="1" customWidth="1"/>
    <col min="14" max="16384" width="9.140625" style="122" customWidth="1"/>
  </cols>
  <sheetData>
    <row r="1" spans="2:4" ht="21.75" customHeight="1">
      <c r="B1" s="917" t="s">
        <v>1627</v>
      </c>
      <c r="C1" s="917"/>
      <c r="D1" s="917"/>
    </row>
    <row r="2" spans="2:4" ht="43.5" customHeight="1">
      <c r="B2" s="916" t="s">
        <v>223</v>
      </c>
      <c r="C2" s="916"/>
      <c r="D2" s="439" t="s">
        <v>1733</v>
      </c>
    </row>
    <row r="3" spans="2:4" ht="20.25" customHeight="1">
      <c r="B3" s="440" t="s">
        <v>224</v>
      </c>
      <c r="C3" s="440"/>
      <c r="D3" s="439" t="s">
        <v>247</v>
      </c>
    </row>
    <row r="4" spans="2:6" ht="20.25" customHeight="1">
      <c r="B4" s="916" t="s">
        <v>193</v>
      </c>
      <c r="C4" s="916"/>
      <c r="D4" s="441" t="s">
        <v>221</v>
      </c>
      <c r="F4" s="442" t="s">
        <v>5</v>
      </c>
    </row>
    <row r="5" spans="2:4" ht="20.25" customHeight="1">
      <c r="B5" s="916" t="s">
        <v>58</v>
      </c>
      <c r="C5" s="916"/>
      <c r="D5" s="441" t="s">
        <v>1734</v>
      </c>
    </row>
    <row r="6" spans="2:4" ht="20.25" customHeight="1">
      <c r="B6" s="916" t="s">
        <v>59</v>
      </c>
      <c r="C6" s="916"/>
      <c r="D6" s="443"/>
    </row>
    <row r="7" spans="2:4" ht="20.25" customHeight="1">
      <c r="B7" s="916" t="s">
        <v>60</v>
      </c>
      <c r="C7" s="916"/>
      <c r="D7" s="443"/>
    </row>
    <row r="8" spans="2:5" ht="20.25" customHeight="1">
      <c r="B8" s="440" t="s">
        <v>759</v>
      </c>
      <c r="C8" s="440"/>
      <c r="D8" s="441" t="s">
        <v>1657</v>
      </c>
      <c r="E8" s="444"/>
    </row>
    <row r="9" spans="2:5" ht="20.25" customHeight="1">
      <c r="B9" s="440" t="s">
        <v>760</v>
      </c>
      <c r="C9" s="440"/>
      <c r="D9" s="441" t="s">
        <v>1658</v>
      </c>
      <c r="E9" s="444"/>
    </row>
    <row r="10" spans="2:4" ht="20.25" customHeight="1">
      <c r="B10" s="916" t="s">
        <v>22</v>
      </c>
      <c r="C10" s="916"/>
      <c r="D10" s="441" t="s">
        <v>1657</v>
      </c>
    </row>
    <row r="11" spans="2:4" ht="20.25" customHeight="1">
      <c r="B11" s="445" t="s">
        <v>241</v>
      </c>
      <c r="C11" s="445"/>
      <c r="D11" s="446">
        <v>2017</v>
      </c>
    </row>
    <row r="12" spans="2:4" ht="20.25" customHeight="1">
      <c r="B12" s="445" t="s">
        <v>242</v>
      </c>
      <c r="C12" s="447"/>
      <c r="D12" s="448">
        <v>2016</v>
      </c>
    </row>
    <row r="13" spans="2:6" ht="15.75">
      <c r="B13" s="916" t="s">
        <v>24</v>
      </c>
      <c r="C13" s="916"/>
      <c r="D13" s="441" t="s">
        <v>1735</v>
      </c>
      <c r="E13" s="449"/>
      <c r="F13" s="450"/>
    </row>
    <row r="14" spans="2:4" ht="15.75">
      <c r="B14" s="916" t="s">
        <v>25</v>
      </c>
      <c r="C14" s="916"/>
      <c r="D14" s="441" t="s">
        <v>1736</v>
      </c>
    </row>
    <row r="15" spans="2:11" ht="21.75" customHeight="1">
      <c r="B15" s="916" t="s">
        <v>26</v>
      </c>
      <c r="C15" s="916"/>
      <c r="D15" s="441" t="s">
        <v>1737</v>
      </c>
      <c r="K15" s="451" t="s">
        <v>253</v>
      </c>
    </row>
    <row r="16" spans="11:13" ht="15">
      <c r="K16" s="452">
        <f>'3.LRA'!E18-'3.LRA'!I18</f>
        <v>0</v>
      </c>
      <c r="L16" s="449"/>
      <c r="M16" s="450"/>
    </row>
    <row r="17" ht="15">
      <c r="K17" s="452">
        <f>'3.LRA'!E21-'3.LRA'!I21</f>
        <v>0</v>
      </c>
    </row>
    <row r="18" spans="2:11" ht="15.75">
      <c r="B18" s="440" t="s">
        <v>1624</v>
      </c>
      <c r="C18" s="440"/>
      <c r="D18" s="441" t="s">
        <v>1623</v>
      </c>
      <c r="K18" s="452">
        <f>'3.LRA'!E22-'3.LRA'!I22</f>
        <v>0</v>
      </c>
    </row>
    <row r="19" spans="2:11" ht="15.75">
      <c r="B19" s="440" t="s">
        <v>1625</v>
      </c>
      <c r="C19" s="440"/>
      <c r="D19" s="441" t="s">
        <v>1714</v>
      </c>
      <c r="K19" s="452">
        <f>'3.LRA'!E23-'3.LRA'!I23</f>
        <v>0</v>
      </c>
    </row>
    <row r="20" ht="15">
      <c r="K20" s="452">
        <f>'3.LRA'!E24-'3.LRA'!I24</f>
        <v>0</v>
      </c>
    </row>
    <row r="21" spans="11:14" s="147" customFormat="1" ht="15" customHeight="1">
      <c r="K21" s="452">
        <f>'3.LRA'!E25-'3.LRA'!I25</f>
        <v>0</v>
      </c>
      <c r="L21" s="453"/>
      <c r="N21" s="453"/>
    </row>
    <row r="22" spans="11:14" s="454" customFormat="1" ht="15" customHeight="1">
      <c r="K22" s="452">
        <f>'3.LRA'!E26-'3.LRA'!I26</f>
        <v>0</v>
      </c>
      <c r="L22" s="455"/>
      <c r="N22" s="456"/>
    </row>
    <row r="23" spans="11:14" s="454" customFormat="1" ht="15" customHeight="1">
      <c r="K23" s="452">
        <f>'3.LRA'!E27-'3.LRA'!I27</f>
        <v>0</v>
      </c>
      <c r="L23" s="455"/>
      <c r="N23" s="456"/>
    </row>
    <row r="24" s="147" customFormat="1" ht="15">
      <c r="K24" s="452">
        <f>'3.LRA'!E29-'3.LRA'!I29</f>
        <v>0</v>
      </c>
    </row>
    <row r="25" ht="15">
      <c r="K25" s="452">
        <f>'3.LRA'!E30-'3.LRA'!I30</f>
        <v>0</v>
      </c>
    </row>
    <row r="26" ht="15">
      <c r="K26" s="452">
        <f>'3.LRA'!E31-'3.LRA'!I31</f>
        <v>0</v>
      </c>
    </row>
    <row r="27" ht="15">
      <c r="K27" s="452">
        <f>'3.LRA'!E32-'3.LRA'!I32</f>
        <v>0</v>
      </c>
    </row>
    <row r="28" ht="15">
      <c r="K28" s="452" t="e">
        <f>'3.LRA'!#REF!-'3.LRA'!#REF!</f>
        <v>#REF!</v>
      </c>
    </row>
    <row r="29" ht="15">
      <c r="K29" s="452" t="e">
        <f>'3.LRA'!#REF!-'3.LRA'!#REF!</f>
        <v>#REF!</v>
      </c>
    </row>
    <row r="30" ht="15">
      <c r="K30" s="452" t="e">
        <f>'3.LRA'!#REF!-'3.LRA'!#REF!</f>
        <v>#REF!</v>
      </c>
    </row>
    <row r="31" ht="15">
      <c r="K31" s="452" t="e">
        <f>'3.LRA'!#REF!-'3.LRA'!#REF!</f>
        <v>#REF!</v>
      </c>
    </row>
    <row r="32" ht="15">
      <c r="K32" s="457" t="e">
        <f>'3.LRA'!#REF!-'3.LRA'!#REF!</f>
        <v>#REF!</v>
      </c>
    </row>
    <row r="33" ht="15">
      <c r="K33" s="457" t="e">
        <f>'3.LRA'!#REF!-'3.LRA'!#REF!</f>
        <v>#REF!</v>
      </c>
    </row>
    <row r="34" ht="15">
      <c r="K34" s="457" t="e">
        <f>'3.LRA'!#REF!-'3.LRA'!#REF!</f>
        <v>#REF!</v>
      </c>
    </row>
    <row r="49" s="147" customFormat="1" ht="15"/>
    <row r="55" spans="11:12" ht="45.75">
      <c r="K55" s="458" t="s">
        <v>196</v>
      </c>
      <c r="L55" s="459" t="s">
        <v>195</v>
      </c>
    </row>
    <row r="56" spans="11:12" ht="15">
      <c r="K56" s="460"/>
      <c r="L56" s="460"/>
    </row>
    <row r="57" spans="11:12" ht="15">
      <c r="K57" s="461">
        <f>SUM('3.LRA'!J37-'3.LRA'!K37)</f>
        <v>68.63054532628661</v>
      </c>
      <c r="L57" s="462">
        <f>SUM(('3.LRA'!E37-'3.LRA'!J37)/'3.LRA'!J37)*100</f>
        <v>9670639763.263666</v>
      </c>
    </row>
    <row r="58" spans="11:13" ht="15" customHeight="1">
      <c r="K58" s="461">
        <f>SUM('3.LRA'!J38-'3.LRA'!K38)</f>
        <v>131.36732455755862</v>
      </c>
      <c r="L58" s="462">
        <v>0</v>
      </c>
      <c r="M58" s="433">
        <f>SUM(('3.LRA'!F38-'3.LRA'!K38)/'3.LRA'!K38)*100</f>
        <v>-343.7005813893731</v>
      </c>
    </row>
    <row r="59" spans="11:13" ht="15">
      <c r="K59" s="463" t="e">
        <f>SUM(K60:K65)</f>
        <v>#DIV/0!</v>
      </c>
      <c r="L59" s="462">
        <v>0</v>
      </c>
      <c r="M59" s="433"/>
    </row>
    <row r="60" spans="11:12" ht="15">
      <c r="K60" s="461">
        <f>SUM('3.LRA'!J40-'3.LRA'!K40)</f>
        <v>96.70879665929473</v>
      </c>
      <c r="L60" s="462">
        <v>0</v>
      </c>
    </row>
    <row r="61" spans="11:12" ht="15">
      <c r="K61" s="461">
        <f>SUM('3.LRA'!J41-'3.LRA'!K41)</f>
        <v>63.0406576719857</v>
      </c>
      <c r="L61" s="462">
        <v>0</v>
      </c>
    </row>
    <row r="62" spans="11:12" ht="15">
      <c r="K62" s="461" t="e">
        <f>SUM('3.LRA'!J42-'3.LRA'!K42)</f>
        <v>#DIV/0!</v>
      </c>
      <c r="L62" s="462">
        <v>0</v>
      </c>
    </row>
    <row r="63" spans="11:12" ht="15">
      <c r="K63" s="461" t="e">
        <f>SUM('3.LRA'!J43-'3.LRA'!K43)</f>
        <v>#DIV/0!</v>
      </c>
      <c r="L63" s="462">
        <v>0</v>
      </c>
    </row>
    <row r="64" spans="11:12" ht="15">
      <c r="K64" s="461">
        <f>SUM('3.LRA'!J44-'3.LRA'!K44)</f>
        <v>-64.74358974358972</v>
      </c>
      <c r="L64" s="462">
        <v>1</v>
      </c>
    </row>
    <row r="65" spans="11:12" ht="15">
      <c r="K65" s="461">
        <f>SUM('3.LRA'!J45-'3.LRA'!K45)</f>
        <v>100</v>
      </c>
      <c r="L65" s="462">
        <v>2</v>
      </c>
    </row>
    <row r="66" spans="11:12" ht="15">
      <c r="K66" s="461">
        <f>SUM('3.LRA'!J47-'3.LRA'!K47)</f>
        <v>175.06202624728843</v>
      </c>
      <c r="L66" s="462">
        <f>SUM(('3.LRA'!E47-'3.LRA'!J47)/'3.LRA'!J47)*100</f>
        <v>548408580.9679862</v>
      </c>
    </row>
    <row r="67" spans="11:12" ht="15">
      <c r="K67" s="461">
        <f>SUM('3.LRA'!J48-'3.LRA'!K48)</f>
        <v>87.14071558134391</v>
      </c>
      <c r="L67" s="462">
        <v>0</v>
      </c>
    </row>
    <row r="68" spans="11:12" ht="15">
      <c r="K68" s="461">
        <f>SUM('3.LRA'!J49-'3.LRA'!K49)</f>
        <v>72.22222222222223</v>
      </c>
      <c r="L68" s="462">
        <f>SUM(('3.LRA'!E49-'3.LRA'!J49)/'3.LRA'!J49)*100</f>
        <v>11499900</v>
      </c>
    </row>
    <row r="69" spans="11:12" ht="15">
      <c r="K69" s="461">
        <f>SUM('3.LRA'!J50-'3.LRA'!K50)</f>
        <v>90.79993963555967</v>
      </c>
      <c r="L69" s="462">
        <v>0</v>
      </c>
    </row>
    <row r="70" spans="11:12" ht="15">
      <c r="K70" s="461">
        <f>SUM('3.LRA'!J51-'3.LRA'!K51)</f>
        <v>102.28287570552946</v>
      </c>
      <c r="L70" s="462">
        <v>0</v>
      </c>
    </row>
    <row r="71" spans="11:12" ht="15">
      <c r="K71" s="461">
        <f>SUM('3.LRA'!J52-'3.LRA'!K52)</f>
        <v>38.95546955619373</v>
      </c>
      <c r="L71" s="462">
        <v>0</v>
      </c>
    </row>
    <row r="72" spans="11:12" ht="15">
      <c r="K72" s="461" t="e">
        <f>SUM('3.LRA'!J53-'3.LRA'!K53)</f>
        <v>#DIV/0!</v>
      </c>
      <c r="L72" s="462">
        <v>0</v>
      </c>
    </row>
    <row r="73" spans="11:12" ht="15">
      <c r="K73" s="461">
        <f>SUM('3.LRA'!J54-'3.LRA'!K54)</f>
        <v>104.54545454545455</v>
      </c>
      <c r="L73" s="462">
        <v>0</v>
      </c>
    </row>
    <row r="74" spans="11:12" ht="15">
      <c r="K74" s="461">
        <f>SUM('3.LRA'!J55-'3.LRA'!K55)</f>
        <v>-50</v>
      </c>
      <c r="L74" s="462">
        <v>0</v>
      </c>
    </row>
    <row r="75" spans="11:12" ht="15">
      <c r="K75" s="461">
        <f>SUM('3.LRA'!J56-'3.LRA'!K56)</f>
        <v>6.644270250093314</v>
      </c>
      <c r="L75" s="462">
        <v>0</v>
      </c>
    </row>
    <row r="76" spans="11:12" ht="15">
      <c r="K76" s="461">
        <f>SUM('3.LRA'!J57-'3.LRA'!K57)</f>
        <v>37.77777777777778</v>
      </c>
      <c r="L76" s="462">
        <v>0</v>
      </c>
    </row>
    <row r="77" spans="11:12" ht="15">
      <c r="K77" s="461">
        <f>SUM('3.LRA'!J58-'3.LRA'!K58)</f>
        <v>-115.74344023323616</v>
      </c>
      <c r="L77" s="462">
        <v>0</v>
      </c>
    </row>
    <row r="78" spans="11:12" ht="15">
      <c r="K78" s="461" t="e">
        <f>SUM('3.LRA'!J59-'3.LRA'!K59)</f>
        <v>#DIV/0!</v>
      </c>
      <c r="L78" s="462">
        <v>0</v>
      </c>
    </row>
    <row r="79" spans="11:12" ht="15">
      <c r="K79" s="461">
        <f>SUM('3.LRA'!J60-'3.LRA'!K60)</f>
        <v>191.47192545614126</v>
      </c>
      <c r="L79" s="462">
        <v>0</v>
      </c>
    </row>
    <row r="80" spans="11:12" ht="15">
      <c r="K80" s="461" t="e">
        <f>SUM('3.LRA'!J61-'3.LRA'!K61)</f>
        <v>#DIV/0!</v>
      </c>
      <c r="L80" s="462">
        <v>0</v>
      </c>
    </row>
    <row r="81" spans="11:12" ht="15">
      <c r="K81" s="461" t="e">
        <f>SUM('3.LRA'!J62-'3.LRA'!K62)</f>
        <v>#DIV/0!</v>
      </c>
      <c r="L81" s="462">
        <v>0</v>
      </c>
    </row>
    <row r="82" spans="11:12" ht="15">
      <c r="K82" s="461" t="e">
        <f>SUM('3.LRA'!J63-'3.LRA'!K63)</f>
        <v>#DIV/0!</v>
      </c>
      <c r="L82" s="462">
        <v>0</v>
      </c>
    </row>
    <row r="83" spans="11:12" ht="15">
      <c r="K83" s="461" t="e">
        <f>SUM('3.LRA'!J64-'3.LRA'!K64)</f>
        <v>#DIV/0!</v>
      </c>
      <c r="L83" s="462">
        <v>0</v>
      </c>
    </row>
    <row r="84" spans="11:12" ht="15">
      <c r="K84" s="461" t="e">
        <f>SUM('3.LRA'!J65-'3.LRA'!K65)</f>
        <v>#DIV/0!</v>
      </c>
      <c r="L84" s="462">
        <v>0</v>
      </c>
    </row>
    <row r="85" spans="11:12" ht="15">
      <c r="K85" s="461" t="e">
        <f>SUM('3.LRA'!J66-'3.LRA'!K66)</f>
        <v>#DIV/0!</v>
      </c>
      <c r="L85" s="462">
        <v>0</v>
      </c>
    </row>
    <row r="86" spans="11:12" ht="15">
      <c r="K86" s="461" t="e">
        <f>SUM('3.LRA'!J67-'3.LRA'!K67)</f>
        <v>#DIV/0!</v>
      </c>
      <c r="L86" s="462">
        <v>0</v>
      </c>
    </row>
    <row r="87" spans="11:12" ht="15" customHeight="1">
      <c r="K87" s="463" t="e">
        <f>K88+K94+K99+K102+K106</f>
        <v>#DIV/0!</v>
      </c>
      <c r="L87" s="463">
        <f>L88+L94+L99+L102+L106</f>
        <v>0</v>
      </c>
    </row>
    <row r="88" spans="11:12" ht="15">
      <c r="K88" s="461" t="e">
        <f>SUM('3.LRA'!J69-'3.LRA'!K69)</f>
        <v>#DIV/0!</v>
      </c>
      <c r="L88" s="462">
        <v>0</v>
      </c>
    </row>
    <row r="89" spans="11:12" ht="15">
      <c r="K89" s="6">
        <v>0</v>
      </c>
      <c r="L89" s="462"/>
    </row>
    <row r="90" spans="11:12" ht="14.25" customHeight="1">
      <c r="K90" s="6">
        <v>0</v>
      </c>
      <c r="L90" s="462"/>
    </row>
    <row r="91" spans="11:12" ht="14.25" customHeight="1">
      <c r="K91" s="6">
        <v>0</v>
      </c>
      <c r="L91" s="462"/>
    </row>
    <row r="92" spans="11:12" ht="14.25" customHeight="1">
      <c r="K92" s="6">
        <v>0</v>
      </c>
      <c r="L92" s="462"/>
    </row>
    <row r="93" spans="11:12" ht="14.25" customHeight="1">
      <c r="K93" s="6">
        <v>0</v>
      </c>
      <c r="L93" s="462"/>
    </row>
    <row r="94" spans="11:12" s="147" customFormat="1" ht="15">
      <c r="K94" s="7">
        <f>SUM(K95:K98)</f>
        <v>0</v>
      </c>
      <c r="L94" s="464">
        <v>0</v>
      </c>
    </row>
    <row r="95" spans="11:12" s="147" customFormat="1" ht="15">
      <c r="K95" s="6">
        <v>0</v>
      </c>
      <c r="L95" s="464"/>
    </row>
    <row r="96" spans="11:12" s="147" customFormat="1" ht="15">
      <c r="K96" s="6">
        <v>0</v>
      </c>
      <c r="L96" s="464"/>
    </row>
    <row r="97" spans="11:12" s="147" customFormat="1" ht="15">
      <c r="K97" s="6">
        <v>0</v>
      </c>
      <c r="L97" s="464"/>
    </row>
    <row r="98" spans="11:12" s="147" customFormat="1" ht="15">
      <c r="K98" s="6">
        <v>0</v>
      </c>
      <c r="L98" s="464"/>
    </row>
    <row r="99" spans="11:12" s="147" customFormat="1" ht="15">
      <c r="K99" s="7">
        <f>SUM(K100:K101)</f>
        <v>0</v>
      </c>
      <c r="L99" s="464">
        <v>0</v>
      </c>
    </row>
    <row r="100" spans="11:12" ht="15">
      <c r="K100" s="6">
        <v>0</v>
      </c>
      <c r="L100" s="462"/>
    </row>
    <row r="101" spans="11:12" ht="15">
      <c r="K101" s="6">
        <v>0</v>
      </c>
      <c r="L101" s="462"/>
    </row>
    <row r="102" spans="11:12" s="147" customFormat="1" ht="15">
      <c r="K102" s="7">
        <f>SUM(K103:K105)</f>
        <v>0</v>
      </c>
      <c r="L102" s="464">
        <v>0</v>
      </c>
    </row>
    <row r="103" spans="11:12" ht="15">
      <c r="K103" s="6">
        <v>0</v>
      </c>
      <c r="L103" s="462"/>
    </row>
    <row r="104" spans="11:12" ht="15">
      <c r="K104" s="6">
        <v>0</v>
      </c>
      <c r="L104" s="462"/>
    </row>
    <row r="105" spans="11:12" ht="15">
      <c r="K105" s="6">
        <v>0</v>
      </c>
      <c r="L105" s="462"/>
    </row>
    <row r="106" spans="11:12" s="147" customFormat="1" ht="15">
      <c r="K106" s="465" t="e">
        <f>SUM('3.LRA'!J91-'3.LRA'!K91)</f>
        <v>#DIV/0!</v>
      </c>
      <c r="L106" s="464">
        <v>0</v>
      </c>
    </row>
    <row r="114" s="454" customFormat="1" ht="15"/>
    <row r="115" s="454" customFormat="1" ht="15"/>
    <row r="116" ht="15" customHeight="1"/>
    <row r="117" ht="15" customHeight="1"/>
    <row r="118" ht="15" customHeight="1"/>
    <row r="119" ht="15" customHeight="1"/>
    <row r="122" ht="15">
      <c r="E122" s="449"/>
    </row>
    <row r="123" ht="36" customHeight="1">
      <c r="E123" s="449"/>
    </row>
    <row r="126" spans="8:10" ht="15">
      <c r="H126" s="449"/>
      <c r="I126" s="466"/>
      <c r="J126" s="467"/>
    </row>
    <row r="127" spans="8:10" ht="15" customHeight="1">
      <c r="H127" s="449"/>
      <c r="I127" s="146"/>
      <c r="J127" s="468"/>
    </row>
    <row r="128" spans="8:10" ht="15" customHeight="1">
      <c r="H128" s="449"/>
      <c r="I128" s="146"/>
      <c r="J128" s="468"/>
    </row>
    <row r="129" spans="8:10" ht="15" customHeight="1">
      <c r="H129" s="449"/>
      <c r="I129" s="146"/>
      <c r="J129" s="468"/>
    </row>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27"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74" spans="8:9" ht="15">
      <c r="H174" s="469" t="e">
        <f>IF('4.NERACA'!#REF!='4.NERACA'!#REF!,"OK","Masih Salah Neracanya")</f>
        <v>#REF!</v>
      </c>
      <c r="I174" s="469" t="e">
        <f>IF('4.NERACA'!#REF!='4.NERACA'!#REF!,"OK","Masih Salah Neracanya")</f>
        <v>#REF!</v>
      </c>
    </row>
    <row r="188" spans="7:11" ht="15.75" customHeight="1">
      <c r="G188" s="121"/>
      <c r="H188" s="121"/>
      <c r="I188" s="121"/>
      <c r="J188" s="121"/>
      <c r="K188" s="121"/>
    </row>
    <row r="189" spans="7:11" ht="15.75" customHeight="1">
      <c r="G189" s="121"/>
      <c r="H189" s="121"/>
      <c r="I189" s="121"/>
      <c r="J189" s="121"/>
      <c r="K189" s="121"/>
    </row>
    <row r="190" spans="7:11" ht="15">
      <c r="G190" s="470"/>
      <c r="H190" s="470"/>
      <c r="I190" s="470"/>
      <c r="J190" s="470"/>
      <c r="K190" s="470"/>
    </row>
    <row r="363" spans="2:5" ht="15">
      <c r="B363" s="471"/>
      <c r="C363" s="471"/>
      <c r="D363" s="472"/>
      <c r="E363" s="449"/>
    </row>
    <row r="364" spans="2:5" ht="15">
      <c r="B364" s="471"/>
      <c r="C364" s="471"/>
      <c r="D364" s="472"/>
      <c r="E364" s="449"/>
    </row>
    <row r="365" spans="2:5" ht="15">
      <c r="B365" s="473" t="str">
        <f>"LAPORAN OPERASIONAL UNTUK PERIODE YANG BERAKHIR SD  "&amp;D8&amp;""</f>
        <v>LAPORAN OPERASIONAL UNTUK PERIODE YANG BERAKHIR SD  31 Desember 2017</v>
      </c>
      <c r="C365" s="473"/>
      <c r="D365" s="473"/>
      <c r="E365" s="474"/>
    </row>
    <row r="366" spans="2:5" ht="15">
      <c r="B366" s="475" t="s">
        <v>39</v>
      </c>
      <c r="C366" s="476"/>
      <c r="D366" s="477" t="str">
        <f>D8</f>
        <v>31 Desember 2017</v>
      </c>
      <c r="E366" s="449" t="e">
        <f>'4.NERACA'!#REF!</f>
        <v>#REF!</v>
      </c>
    </row>
    <row r="367" spans="2:5" ht="15">
      <c r="B367" s="478" t="s">
        <v>199</v>
      </c>
      <c r="C367" s="479"/>
      <c r="D367" s="480">
        <f>SUM(D368)</f>
        <v>0</v>
      </c>
      <c r="E367" s="480">
        <f>SUM(E368)</f>
        <v>76376070</v>
      </c>
    </row>
    <row r="368" spans="2:5" ht="15">
      <c r="B368" s="479" t="s">
        <v>5</v>
      </c>
      <c r="C368" s="478" t="s">
        <v>200</v>
      </c>
      <c r="D368" s="481">
        <v>0</v>
      </c>
      <c r="E368" s="481">
        <v>76376070</v>
      </c>
    </row>
    <row r="369" spans="2:5" ht="15">
      <c r="B369" s="482" t="s">
        <v>201</v>
      </c>
      <c r="D369" s="483">
        <f>SUM(D367)</f>
        <v>0</v>
      </c>
      <c r="E369" s="483">
        <f>SUM(E367)</f>
        <v>76376070</v>
      </c>
    </row>
    <row r="370" spans="2:5" ht="15">
      <c r="B370" s="484"/>
      <c r="C370" s="482"/>
      <c r="D370" s="483"/>
      <c r="E370" s="483"/>
    </row>
    <row r="371" spans="2:5" ht="15.75">
      <c r="B371" s="484"/>
      <c r="C371" s="485" t="s">
        <v>47</v>
      </c>
      <c r="D371" s="481">
        <v>0</v>
      </c>
      <c r="E371" s="481">
        <v>0</v>
      </c>
    </row>
    <row r="372" spans="2:5" ht="15.75">
      <c r="B372" s="475"/>
      <c r="C372" s="485" t="s">
        <v>96</v>
      </c>
      <c r="D372" s="481">
        <v>0</v>
      </c>
      <c r="E372" s="481">
        <v>0</v>
      </c>
    </row>
    <row r="373" spans="2:5" ht="15.75">
      <c r="B373" s="486"/>
      <c r="C373" s="485" t="s">
        <v>97</v>
      </c>
      <c r="D373" s="481">
        <v>0</v>
      </c>
      <c r="E373" s="481">
        <v>32739000</v>
      </c>
    </row>
    <row r="374" spans="2:5" ht="15">
      <c r="B374" s="486"/>
      <c r="C374" s="487" t="s">
        <v>48</v>
      </c>
      <c r="D374" s="481">
        <v>0</v>
      </c>
      <c r="E374" s="481">
        <v>0</v>
      </c>
    </row>
    <row r="375" spans="2:5" ht="15">
      <c r="B375" s="486"/>
      <c r="C375" s="487" t="s">
        <v>98</v>
      </c>
      <c r="D375" s="481">
        <v>0</v>
      </c>
      <c r="E375" s="481">
        <v>0</v>
      </c>
    </row>
    <row r="376" spans="2:5" ht="15">
      <c r="B376" s="484"/>
      <c r="C376" s="488" t="s">
        <v>99</v>
      </c>
      <c r="D376" s="481">
        <v>0</v>
      </c>
      <c r="E376" s="481">
        <v>0</v>
      </c>
    </row>
    <row r="377" spans="2:5" ht="15">
      <c r="B377" s="484"/>
      <c r="C377" s="487" t="s">
        <v>49</v>
      </c>
      <c r="D377" s="481">
        <v>0</v>
      </c>
      <c r="E377" s="481">
        <v>0</v>
      </c>
    </row>
    <row r="378" spans="2:5" ht="15">
      <c r="B378" s="484"/>
      <c r="C378" s="487" t="s">
        <v>100</v>
      </c>
      <c r="D378" s="481">
        <v>0</v>
      </c>
      <c r="E378" s="481">
        <v>0</v>
      </c>
    </row>
    <row r="379" spans="2:5" ht="15">
      <c r="B379" s="484"/>
      <c r="C379" s="489" t="s">
        <v>101</v>
      </c>
      <c r="D379" s="481">
        <v>0</v>
      </c>
      <c r="E379" s="481">
        <v>0</v>
      </c>
    </row>
    <row r="380" spans="2:5" ht="15">
      <c r="B380" s="482" t="s">
        <v>38</v>
      </c>
      <c r="D380" s="483">
        <f>SUM(D371:D379)</f>
        <v>0</v>
      </c>
      <c r="E380" s="483">
        <f>SUM(E371:E379)</f>
        <v>32739000</v>
      </c>
    </row>
    <row r="381" spans="2:5" ht="15">
      <c r="B381" s="479" t="s">
        <v>41</v>
      </c>
      <c r="D381" s="480">
        <f>D369-D380</f>
        <v>0</v>
      </c>
      <c r="E381" s="480">
        <f>E369-E380</f>
        <v>43637070</v>
      </c>
    </row>
    <row r="382" spans="2:5" ht="15">
      <c r="B382" s="490"/>
      <c r="C382" s="478"/>
      <c r="D382" s="481"/>
      <c r="E382" s="481"/>
    </row>
    <row r="383" spans="2:5" ht="15">
      <c r="B383" s="918" t="s">
        <v>40</v>
      </c>
      <c r="C383" s="919"/>
      <c r="D383" s="481"/>
      <c r="E383" s="481"/>
    </row>
    <row r="384" spans="2:5" ht="15">
      <c r="B384" s="486"/>
      <c r="C384" s="487" t="s">
        <v>203</v>
      </c>
      <c r="D384" s="481">
        <v>0</v>
      </c>
      <c r="E384" s="481">
        <v>0</v>
      </c>
    </row>
    <row r="385" spans="2:5" ht="15">
      <c r="B385" s="486"/>
      <c r="C385" s="487" t="s">
        <v>204</v>
      </c>
      <c r="D385" s="481">
        <v>0</v>
      </c>
      <c r="E385" s="481">
        <v>0</v>
      </c>
    </row>
    <row r="386" spans="2:5" ht="15">
      <c r="B386" s="486"/>
      <c r="C386" s="487" t="s">
        <v>205</v>
      </c>
      <c r="D386" s="481">
        <v>0</v>
      </c>
      <c r="E386" s="481">
        <v>0</v>
      </c>
    </row>
    <row r="387" spans="2:5" ht="15">
      <c r="B387" s="478" t="s">
        <v>202</v>
      </c>
      <c r="D387" s="483">
        <f>SUM(D384:D386)</f>
        <v>0</v>
      </c>
      <c r="E387" s="483">
        <f>SUM(E384:E386)</f>
        <v>0</v>
      </c>
    </row>
    <row r="388" spans="2:5" ht="15">
      <c r="B388" s="479" t="s">
        <v>42</v>
      </c>
      <c r="D388" s="480">
        <f>SUM(D381+D387)</f>
        <v>0</v>
      </c>
      <c r="E388" s="480">
        <f>SUM(E381+E387)</f>
        <v>43637070</v>
      </c>
    </row>
    <row r="389" spans="2:5" ht="15">
      <c r="B389" s="479"/>
      <c r="D389" s="480"/>
      <c r="E389" s="480"/>
    </row>
    <row r="390" spans="2:5" ht="15">
      <c r="B390" s="479" t="s">
        <v>102</v>
      </c>
      <c r="D390" s="480">
        <f>SUM(D391:D393)</f>
        <v>0</v>
      </c>
      <c r="E390" s="480"/>
    </row>
    <row r="391" spans="2:5" ht="15">
      <c r="B391" s="479"/>
      <c r="C391" s="487" t="s">
        <v>103</v>
      </c>
      <c r="D391" s="481">
        <v>0</v>
      </c>
      <c r="E391" s="481">
        <v>0</v>
      </c>
    </row>
    <row r="392" spans="2:5" ht="15">
      <c r="B392" s="490"/>
      <c r="C392" s="487" t="s">
        <v>98</v>
      </c>
      <c r="D392" s="481">
        <v>0</v>
      </c>
      <c r="E392" s="481">
        <v>0</v>
      </c>
    </row>
    <row r="393" spans="2:5" ht="15">
      <c r="B393" s="491"/>
      <c r="C393" s="487" t="s">
        <v>96</v>
      </c>
      <c r="D393" s="481">
        <v>0</v>
      </c>
      <c r="E393" s="481">
        <v>0</v>
      </c>
    </row>
    <row r="394" spans="2:5" ht="15">
      <c r="B394" s="490"/>
      <c r="C394" s="479" t="s">
        <v>5</v>
      </c>
      <c r="D394" s="481" t="s">
        <v>5</v>
      </c>
      <c r="E394" s="481" t="s">
        <v>5</v>
      </c>
    </row>
    <row r="395" spans="2:5" ht="15">
      <c r="B395" s="492" t="s">
        <v>43</v>
      </c>
      <c r="C395" s="493"/>
      <c r="D395" s="494">
        <f>SUM(D381+D386+D390)</f>
        <v>0</v>
      </c>
      <c r="E395" s="494">
        <f>SUM(E381+E386)</f>
        <v>43637070</v>
      </c>
    </row>
    <row r="396" spans="2:5" ht="15">
      <c r="B396" s="471"/>
      <c r="C396" s="471"/>
      <c r="D396" s="472"/>
      <c r="E396" s="449"/>
    </row>
    <row r="397" spans="2:5" ht="15.75">
      <c r="B397" s="495" t="s">
        <v>209</v>
      </c>
      <c r="C397" s="471"/>
      <c r="D397" s="472"/>
      <c r="E397" s="449"/>
    </row>
    <row r="398" spans="2:5" ht="15">
      <c r="B398" s="471"/>
      <c r="C398" s="471"/>
      <c r="D398" s="472"/>
      <c r="E398" s="449"/>
    </row>
    <row r="399" spans="2:5" ht="15">
      <c r="B399" s="471" t="s">
        <v>103</v>
      </c>
      <c r="C399" s="471"/>
      <c r="D399" s="472"/>
      <c r="E399" s="449"/>
    </row>
    <row r="400" spans="2:6" ht="15.75">
      <c r="B400" s="471"/>
      <c r="C400" s="471" t="s">
        <v>19</v>
      </c>
      <c r="D400" s="496">
        <v>0</v>
      </c>
      <c r="E400" s="496">
        <v>0</v>
      </c>
      <c r="F400" s="497" t="e">
        <f>SUM((D400-E400)/E400)*100</f>
        <v>#DIV/0!</v>
      </c>
    </row>
    <row r="401" spans="2:6" ht="15.75">
      <c r="B401" s="471"/>
      <c r="C401" s="471" t="s">
        <v>20</v>
      </c>
      <c r="D401" s="496">
        <v>0</v>
      </c>
      <c r="E401" s="496">
        <v>76376070</v>
      </c>
      <c r="F401" s="497">
        <f>SUM((D401-E401)/E401)*100</f>
        <v>-100</v>
      </c>
    </row>
    <row r="402" spans="2:5" ht="15">
      <c r="B402" s="471"/>
      <c r="C402" s="471"/>
      <c r="D402" s="472"/>
      <c r="E402" s="449"/>
    </row>
    <row r="403" spans="2:5" ht="15">
      <c r="B403" s="471" t="s">
        <v>47</v>
      </c>
      <c r="C403" s="471"/>
      <c r="D403" s="472"/>
      <c r="E403" s="449"/>
    </row>
    <row r="404" spans="2:6" ht="15.75">
      <c r="B404" s="471"/>
      <c r="C404" s="471" t="s">
        <v>145</v>
      </c>
      <c r="D404" s="496">
        <v>0</v>
      </c>
      <c r="E404" s="496">
        <v>0</v>
      </c>
      <c r="F404" s="497" t="e">
        <f>SUM((D404-E404)/E404)*100</f>
        <v>#DIV/0!</v>
      </c>
    </row>
    <row r="405" spans="2:6" ht="15.75">
      <c r="B405" s="471"/>
      <c r="C405" s="471" t="s">
        <v>146</v>
      </c>
      <c r="D405" s="496">
        <v>0</v>
      </c>
      <c r="E405" s="496">
        <v>0</v>
      </c>
      <c r="F405" s="497" t="e">
        <f>SUM((D405-E405)/E405)*100</f>
        <v>#DIV/0!</v>
      </c>
    </row>
    <row r="406" spans="2:6" ht="15.75">
      <c r="B406" s="471"/>
      <c r="C406" s="471" t="s">
        <v>147</v>
      </c>
      <c r="D406" s="496">
        <v>0</v>
      </c>
      <c r="E406" s="496">
        <v>0</v>
      </c>
      <c r="F406" s="497" t="e">
        <f>SUM((D406-E406)/E406)*100</f>
        <v>#DIV/0!</v>
      </c>
    </row>
    <row r="407" spans="2:6" ht="15.75">
      <c r="B407" s="471"/>
      <c r="C407" s="471" t="s">
        <v>148</v>
      </c>
      <c r="D407" s="496">
        <v>0</v>
      </c>
      <c r="E407" s="496">
        <v>0</v>
      </c>
      <c r="F407" s="497" t="e">
        <f>SUM((D407-E407)/E407)*100</f>
        <v>#DIV/0!</v>
      </c>
    </row>
    <row r="408" spans="2:5" ht="15">
      <c r="B408" s="471"/>
      <c r="C408" s="471"/>
      <c r="D408" s="472"/>
      <c r="E408" s="449"/>
    </row>
    <row r="409" spans="2:5" ht="15">
      <c r="B409" s="471" t="s">
        <v>96</v>
      </c>
      <c r="C409" s="471"/>
      <c r="D409" s="472"/>
      <c r="E409" s="449"/>
    </row>
    <row r="410" spans="2:6" ht="15.75">
      <c r="B410" s="471"/>
      <c r="C410" s="471" t="s">
        <v>149</v>
      </c>
      <c r="D410" s="496">
        <v>0</v>
      </c>
      <c r="E410" s="496">
        <v>0</v>
      </c>
      <c r="F410" s="497" t="e">
        <f>SUM((D410-E410)/E410)*100</f>
        <v>#DIV/0!</v>
      </c>
    </row>
    <row r="411" spans="2:6" ht="15.75">
      <c r="B411" s="471"/>
      <c r="C411" s="471" t="s">
        <v>150</v>
      </c>
      <c r="D411" s="496">
        <v>0</v>
      </c>
      <c r="E411" s="496">
        <v>0</v>
      </c>
      <c r="F411" s="497" t="e">
        <f>SUM((D411-E411)/E411)*100</f>
        <v>#DIV/0!</v>
      </c>
    </row>
    <row r="412" spans="2:6" ht="15.75">
      <c r="B412" s="471"/>
      <c r="C412" s="471" t="s">
        <v>151</v>
      </c>
      <c r="D412" s="496">
        <v>0</v>
      </c>
      <c r="E412" s="496">
        <v>0</v>
      </c>
      <c r="F412" s="497" t="e">
        <f>SUM((D412-E412)/E412)*100</f>
        <v>#DIV/0!</v>
      </c>
    </row>
    <row r="413" spans="2:6" ht="15.75">
      <c r="B413" s="471"/>
      <c r="C413" s="471" t="s">
        <v>152</v>
      </c>
      <c r="D413" s="496">
        <v>0</v>
      </c>
      <c r="E413" s="496">
        <v>0</v>
      </c>
      <c r="F413" s="497" t="e">
        <f>SUM((D413-E413)/E413)*100</f>
        <v>#DIV/0!</v>
      </c>
    </row>
    <row r="414" spans="2:5" ht="15">
      <c r="B414" s="471"/>
      <c r="C414" s="471"/>
      <c r="D414" s="472"/>
      <c r="E414" s="449"/>
    </row>
    <row r="415" spans="2:5" ht="15">
      <c r="B415" s="471" t="s">
        <v>97</v>
      </c>
      <c r="C415" s="471"/>
      <c r="D415" s="472"/>
      <c r="E415" s="449"/>
    </row>
    <row r="416" spans="2:6" ht="15.75">
      <c r="B416" s="471"/>
      <c r="C416" s="471" t="s">
        <v>153</v>
      </c>
      <c r="D416" s="496">
        <v>0</v>
      </c>
      <c r="E416" s="496">
        <v>32739000</v>
      </c>
      <c r="F416" s="497">
        <f aca="true" t="shared" si="0" ref="F416:F424">SUM((D416-E416)/E416)*100</f>
        <v>-100</v>
      </c>
    </row>
    <row r="417" spans="2:6" ht="15.75">
      <c r="B417" s="471"/>
      <c r="C417" s="471" t="s">
        <v>154</v>
      </c>
      <c r="D417" s="496">
        <v>0</v>
      </c>
      <c r="E417" s="496">
        <v>0</v>
      </c>
      <c r="F417" s="497" t="e">
        <f t="shared" si="0"/>
        <v>#DIV/0!</v>
      </c>
    </row>
    <row r="418" spans="2:6" ht="15.75">
      <c r="B418" s="471"/>
      <c r="C418" s="471" t="s">
        <v>155</v>
      </c>
      <c r="D418" s="496">
        <v>0</v>
      </c>
      <c r="E418" s="496">
        <v>0</v>
      </c>
      <c r="F418" s="497" t="e">
        <f t="shared" si="0"/>
        <v>#DIV/0!</v>
      </c>
    </row>
    <row r="419" spans="2:6" ht="15.75">
      <c r="B419" s="471"/>
      <c r="C419" s="471" t="s">
        <v>156</v>
      </c>
      <c r="D419" s="496">
        <v>0</v>
      </c>
      <c r="E419" s="496">
        <v>0</v>
      </c>
      <c r="F419" s="497" t="e">
        <f t="shared" si="0"/>
        <v>#DIV/0!</v>
      </c>
    </row>
    <row r="420" spans="2:6" ht="15.75">
      <c r="B420" s="471"/>
      <c r="C420" s="471" t="s">
        <v>157</v>
      </c>
      <c r="D420" s="496">
        <v>0</v>
      </c>
      <c r="E420" s="496">
        <v>0</v>
      </c>
      <c r="F420" s="497" t="e">
        <f t="shared" si="0"/>
        <v>#DIV/0!</v>
      </c>
    </row>
    <row r="421" spans="2:6" ht="15.75">
      <c r="B421" s="471"/>
      <c r="C421" s="471" t="s">
        <v>158</v>
      </c>
      <c r="D421" s="496">
        <v>0</v>
      </c>
      <c r="E421" s="496">
        <v>0</v>
      </c>
      <c r="F421" s="497" t="e">
        <f t="shared" si="0"/>
        <v>#DIV/0!</v>
      </c>
    </row>
    <row r="422" spans="2:6" ht="15.75">
      <c r="B422" s="471"/>
      <c r="C422" s="471" t="s">
        <v>159</v>
      </c>
      <c r="D422" s="496">
        <v>0</v>
      </c>
      <c r="E422" s="496">
        <v>0</v>
      </c>
      <c r="F422" s="497" t="e">
        <f t="shared" si="0"/>
        <v>#DIV/0!</v>
      </c>
    </row>
    <row r="423" spans="2:6" ht="15.75">
      <c r="B423" s="471"/>
      <c r="C423" s="471" t="s">
        <v>160</v>
      </c>
      <c r="D423" s="496">
        <v>0</v>
      </c>
      <c r="E423" s="496">
        <v>0</v>
      </c>
      <c r="F423" s="497" t="e">
        <f t="shared" si="0"/>
        <v>#DIV/0!</v>
      </c>
    </row>
    <row r="424" spans="2:6" ht="15.75">
      <c r="B424" s="471"/>
      <c r="C424" s="471" t="s">
        <v>161</v>
      </c>
      <c r="D424" s="496">
        <v>0</v>
      </c>
      <c r="E424" s="496">
        <v>0</v>
      </c>
      <c r="F424" s="497" t="e">
        <f t="shared" si="0"/>
        <v>#DIV/0!</v>
      </c>
    </row>
    <row r="425" spans="2:5" ht="15">
      <c r="B425" s="471"/>
      <c r="C425" s="471"/>
      <c r="D425" s="472"/>
      <c r="E425" s="449"/>
    </row>
    <row r="426" spans="2:5" ht="15">
      <c r="B426" s="471" t="s">
        <v>48</v>
      </c>
      <c r="C426" s="471"/>
      <c r="D426" s="472"/>
      <c r="E426" s="449"/>
    </row>
    <row r="427" spans="2:6" ht="15.75">
      <c r="B427" s="471"/>
      <c r="C427" s="471" t="s">
        <v>162</v>
      </c>
      <c r="D427" s="496">
        <v>0</v>
      </c>
      <c r="E427" s="496">
        <v>0</v>
      </c>
      <c r="F427" s="497" t="e">
        <f>SUM((D427-E427)/E427)*100</f>
        <v>#DIV/0!</v>
      </c>
    </row>
    <row r="428" spans="2:6" ht="15.75">
      <c r="B428" s="471"/>
      <c r="C428" s="471" t="s">
        <v>163</v>
      </c>
      <c r="D428" s="496">
        <v>0</v>
      </c>
      <c r="E428" s="496">
        <v>0</v>
      </c>
      <c r="F428" s="497" t="e">
        <f>SUM((D428-E428)/E428)*100</f>
        <v>#DIV/0!</v>
      </c>
    </row>
    <row r="429" spans="2:6" ht="15.75">
      <c r="B429" s="471"/>
      <c r="C429" s="471" t="s">
        <v>164</v>
      </c>
      <c r="D429" s="496">
        <v>0</v>
      </c>
      <c r="E429" s="496">
        <v>0</v>
      </c>
      <c r="F429" s="497" t="e">
        <f>SUM((D429-E429)/E429)*100</f>
        <v>#DIV/0!</v>
      </c>
    </row>
    <row r="430" spans="2:5" ht="15">
      <c r="B430" s="471"/>
      <c r="C430" s="471"/>
      <c r="D430" s="472"/>
      <c r="E430" s="449"/>
    </row>
    <row r="431" spans="2:5" ht="15">
      <c r="B431" s="471" t="s">
        <v>98</v>
      </c>
      <c r="C431" s="471"/>
      <c r="D431" s="472"/>
      <c r="E431" s="449"/>
    </row>
    <row r="432" spans="2:6" ht="15" customHeight="1">
      <c r="B432" s="471"/>
      <c r="C432" s="471" t="s">
        <v>165</v>
      </c>
      <c r="D432" s="496">
        <v>0</v>
      </c>
      <c r="E432" s="496">
        <v>0</v>
      </c>
      <c r="F432" s="497" t="e">
        <f>SUM((D432-E432)/E432)*100</f>
        <v>#DIV/0!</v>
      </c>
    </row>
    <row r="433" spans="2:6" ht="15" customHeight="1">
      <c r="B433" s="471"/>
      <c r="C433" s="471" t="s">
        <v>166</v>
      </c>
      <c r="D433" s="496">
        <v>0</v>
      </c>
      <c r="E433" s="496">
        <v>0</v>
      </c>
      <c r="F433" s="497" t="e">
        <f>SUM((D433-E433)/E433)*100</f>
        <v>#DIV/0!</v>
      </c>
    </row>
    <row r="434" spans="2:6" ht="15" customHeight="1">
      <c r="B434" s="471"/>
      <c r="C434" s="471" t="s">
        <v>167</v>
      </c>
      <c r="D434" s="496">
        <v>0</v>
      </c>
      <c r="E434" s="496">
        <v>0</v>
      </c>
      <c r="F434" s="497" t="e">
        <f>SUM((D434-E434)/E434)*100</f>
        <v>#DIV/0!</v>
      </c>
    </row>
    <row r="435" spans="2:6" ht="15" customHeight="1">
      <c r="B435" s="471"/>
      <c r="C435" s="471" t="s">
        <v>168</v>
      </c>
      <c r="D435" s="496">
        <v>0</v>
      </c>
      <c r="E435" s="496">
        <v>0</v>
      </c>
      <c r="F435" s="497" t="e">
        <f>SUM((D435-E435)/E435)*100</f>
        <v>#DIV/0!</v>
      </c>
    </row>
    <row r="436" spans="2:5" ht="15" customHeight="1">
      <c r="B436" s="471"/>
      <c r="C436" s="471"/>
      <c r="D436" s="496"/>
      <c r="E436" s="496"/>
    </row>
    <row r="437" spans="2:5" ht="15" customHeight="1">
      <c r="B437" s="471" t="s">
        <v>169</v>
      </c>
      <c r="C437" s="471"/>
      <c r="D437" s="496"/>
      <c r="E437" s="496"/>
    </row>
    <row r="438" spans="2:6" ht="15" customHeight="1">
      <c r="B438" s="471"/>
      <c r="C438" s="471" t="s">
        <v>171</v>
      </c>
      <c r="D438" s="496">
        <v>0</v>
      </c>
      <c r="E438" s="496">
        <v>0</v>
      </c>
      <c r="F438" s="497" t="e">
        <f>SUM((D438-E438)/E438)*100</f>
        <v>#DIV/0!</v>
      </c>
    </row>
    <row r="439" spans="2:6" ht="15" customHeight="1">
      <c r="B439" s="471"/>
      <c r="C439" s="471" t="s">
        <v>170</v>
      </c>
      <c r="D439" s="496">
        <v>0</v>
      </c>
      <c r="E439" s="496">
        <v>0</v>
      </c>
      <c r="F439" s="497" t="e">
        <f>SUM((D439-E439)/E439)*100</f>
        <v>#DIV/0!</v>
      </c>
    </row>
    <row r="440" spans="2:5" ht="15" customHeight="1">
      <c r="B440" s="471"/>
      <c r="C440" s="471" t="s">
        <v>5</v>
      </c>
      <c r="D440" s="496"/>
      <c r="E440" s="496"/>
    </row>
    <row r="441" spans="2:5" ht="15" customHeight="1">
      <c r="B441" s="471" t="s">
        <v>172</v>
      </c>
      <c r="C441" s="471"/>
      <c r="D441" s="496"/>
      <c r="E441" s="496"/>
    </row>
    <row r="442" spans="2:6" ht="15" customHeight="1">
      <c r="B442" s="471"/>
      <c r="C442" s="471" t="s">
        <v>173</v>
      </c>
      <c r="D442" s="496">
        <v>0</v>
      </c>
      <c r="E442" s="496">
        <v>0</v>
      </c>
      <c r="F442" s="497" t="e">
        <f>SUM((D442-E442)/E442)*100</f>
        <v>#DIV/0!</v>
      </c>
    </row>
    <row r="443" spans="2:6" ht="15" customHeight="1">
      <c r="B443" s="471"/>
      <c r="C443" s="471" t="s">
        <v>174</v>
      </c>
      <c r="D443" s="496">
        <v>0</v>
      </c>
      <c r="E443" s="496">
        <v>0</v>
      </c>
      <c r="F443" s="497" t="e">
        <f>SUM((D443-E443)/E443)*100</f>
        <v>#DIV/0!</v>
      </c>
    </row>
    <row r="444" spans="2:6" ht="15" customHeight="1">
      <c r="B444" s="471"/>
      <c r="C444" s="471" t="s">
        <v>175</v>
      </c>
      <c r="D444" s="496">
        <v>0</v>
      </c>
      <c r="E444" s="496">
        <v>0</v>
      </c>
      <c r="F444" s="497" t="e">
        <f>SUM((D444-E444)/E444)*100</f>
        <v>#DIV/0!</v>
      </c>
    </row>
    <row r="445" spans="2:5" ht="15" customHeight="1">
      <c r="B445" s="471"/>
      <c r="C445" s="471"/>
      <c r="D445" s="496"/>
      <c r="E445" s="496"/>
    </row>
    <row r="446" spans="2:5" ht="15" customHeight="1">
      <c r="B446" s="471" t="s">
        <v>100</v>
      </c>
      <c r="C446" s="471"/>
      <c r="D446" s="496"/>
      <c r="E446" s="496"/>
    </row>
    <row r="447" spans="2:6" ht="15" customHeight="1">
      <c r="B447" s="471"/>
      <c r="C447" s="471" t="s">
        <v>177</v>
      </c>
      <c r="D447" s="496">
        <v>0</v>
      </c>
      <c r="E447" s="496">
        <v>0</v>
      </c>
      <c r="F447" s="497" t="e">
        <f aca="true" t="shared" si="1" ref="F447:F454">SUM((D447-E447)/E447)*100</f>
        <v>#DIV/0!</v>
      </c>
    </row>
    <row r="448" spans="2:6" ht="15" customHeight="1">
      <c r="B448" s="471"/>
      <c r="C448" s="471" t="s">
        <v>178</v>
      </c>
      <c r="D448" s="496">
        <v>0</v>
      </c>
      <c r="E448" s="496">
        <v>0</v>
      </c>
      <c r="F448" s="497" t="e">
        <f t="shared" si="1"/>
        <v>#DIV/0!</v>
      </c>
    </row>
    <row r="449" spans="2:6" ht="15" customHeight="1">
      <c r="B449" s="471"/>
      <c r="C449" s="471" t="s">
        <v>179</v>
      </c>
      <c r="D449" s="496">
        <v>0</v>
      </c>
      <c r="E449" s="496">
        <v>0</v>
      </c>
      <c r="F449" s="497" t="e">
        <f t="shared" si="1"/>
        <v>#DIV/0!</v>
      </c>
    </row>
    <row r="450" spans="2:6" ht="15" customHeight="1">
      <c r="B450" s="471"/>
      <c r="C450" s="471" t="s">
        <v>180</v>
      </c>
      <c r="D450" s="496">
        <v>0</v>
      </c>
      <c r="E450" s="496">
        <v>0</v>
      </c>
      <c r="F450" s="497" t="e">
        <f t="shared" si="1"/>
        <v>#DIV/0!</v>
      </c>
    </row>
    <row r="451" spans="2:6" ht="15" customHeight="1">
      <c r="B451" s="471"/>
      <c r="C451" s="471" t="s">
        <v>181</v>
      </c>
      <c r="D451" s="498">
        <f>SUM(D447:D450)</f>
        <v>0</v>
      </c>
      <c r="E451" s="498">
        <f>SUM(E447:E450)</f>
        <v>0</v>
      </c>
      <c r="F451" s="497" t="e">
        <f t="shared" si="1"/>
        <v>#DIV/0!</v>
      </c>
    </row>
    <row r="452" spans="2:6" ht="15" customHeight="1">
      <c r="B452" s="471"/>
      <c r="C452" s="471" t="s">
        <v>182</v>
      </c>
      <c r="D452" s="496">
        <v>0</v>
      </c>
      <c r="E452" s="496">
        <v>0</v>
      </c>
      <c r="F452" s="497" t="e">
        <f t="shared" si="1"/>
        <v>#DIV/0!</v>
      </c>
    </row>
    <row r="453" spans="2:6" ht="15" customHeight="1">
      <c r="B453" s="471"/>
      <c r="C453" s="471" t="s">
        <v>183</v>
      </c>
      <c r="D453" s="496">
        <v>0</v>
      </c>
      <c r="E453" s="496">
        <v>0</v>
      </c>
      <c r="F453" s="497" t="e">
        <f t="shared" si="1"/>
        <v>#DIV/0!</v>
      </c>
    </row>
    <row r="454" spans="2:6" ht="15" customHeight="1">
      <c r="B454" s="471"/>
      <c r="C454" s="471" t="s">
        <v>184</v>
      </c>
      <c r="D454" s="498">
        <f>SUM(D452:D453)</f>
        <v>0</v>
      </c>
      <c r="E454" s="498">
        <f>SUM(E452:E453)</f>
        <v>0</v>
      </c>
      <c r="F454" s="497" t="e">
        <f t="shared" si="1"/>
        <v>#DIV/0!</v>
      </c>
    </row>
    <row r="455" spans="2:5" ht="15" customHeight="1">
      <c r="B455" s="471"/>
      <c r="C455" s="471"/>
      <c r="D455" s="496"/>
      <c r="E455" s="496"/>
    </row>
    <row r="456" spans="2:5" ht="15" customHeight="1">
      <c r="B456" s="471" t="s">
        <v>185</v>
      </c>
      <c r="C456" s="471"/>
      <c r="D456" s="496"/>
      <c r="E456" s="496"/>
    </row>
    <row r="457" spans="2:6" ht="15" customHeight="1">
      <c r="B457" s="471"/>
      <c r="C457" s="471" t="s">
        <v>186</v>
      </c>
      <c r="D457" s="496">
        <v>0</v>
      </c>
      <c r="E457" s="496">
        <v>0</v>
      </c>
      <c r="F457" s="497" t="e">
        <f>SUM((D457-E457)/E457)*100</f>
        <v>#DIV/0!</v>
      </c>
    </row>
    <row r="458" spans="2:6" ht="15" customHeight="1">
      <c r="B458" s="471"/>
      <c r="C458" s="471" t="s">
        <v>187</v>
      </c>
      <c r="D458" s="496">
        <v>0</v>
      </c>
      <c r="E458" s="496">
        <v>0</v>
      </c>
      <c r="F458" s="497" t="e">
        <f>SUM((D458-E458)/E458)*100</f>
        <v>#DIV/0!</v>
      </c>
    </row>
    <row r="459" spans="2:5" ht="15" customHeight="1">
      <c r="B459" s="471"/>
      <c r="C459" s="471"/>
      <c r="D459" s="496"/>
      <c r="E459" s="496"/>
    </row>
    <row r="460" spans="2:5" ht="15" customHeight="1">
      <c r="B460" s="471" t="s">
        <v>188</v>
      </c>
      <c r="C460" s="471"/>
      <c r="D460" s="496"/>
      <c r="E460" s="496"/>
    </row>
    <row r="461" spans="2:6" ht="15" customHeight="1">
      <c r="B461" s="471"/>
      <c r="C461" s="471" t="s">
        <v>203</v>
      </c>
      <c r="D461" s="496">
        <v>0</v>
      </c>
      <c r="E461" s="496">
        <v>0</v>
      </c>
      <c r="F461" s="497" t="e">
        <f>SUM((D461-E461)/E461)*100</f>
        <v>#DIV/0!</v>
      </c>
    </row>
    <row r="462" spans="2:6" ht="15" customHeight="1">
      <c r="B462" s="471"/>
      <c r="C462" s="471" t="s">
        <v>204</v>
      </c>
      <c r="D462" s="496">
        <v>0</v>
      </c>
      <c r="E462" s="496">
        <v>0</v>
      </c>
      <c r="F462" s="497" t="e">
        <f>SUM((D462-E462)/E462)*100</f>
        <v>#DIV/0!</v>
      </c>
    </row>
    <row r="463" spans="2:6" ht="15" customHeight="1">
      <c r="B463" s="471"/>
      <c r="C463" s="471" t="s">
        <v>205</v>
      </c>
      <c r="D463" s="496">
        <v>0</v>
      </c>
      <c r="E463" s="496">
        <v>0</v>
      </c>
      <c r="F463" s="497" t="e">
        <f>SUM((D463-E463)/E463)*100</f>
        <v>#DIV/0!</v>
      </c>
    </row>
    <row r="464" spans="2:5" ht="15" customHeight="1">
      <c r="B464" s="471"/>
      <c r="C464" s="471"/>
      <c r="D464" s="496"/>
      <c r="E464" s="496"/>
    </row>
    <row r="465" spans="2:5" ht="15" customHeight="1">
      <c r="B465" s="471" t="s">
        <v>189</v>
      </c>
      <c r="C465" s="471"/>
      <c r="D465" s="496"/>
      <c r="E465" s="496"/>
    </row>
    <row r="466" spans="2:6" ht="15" customHeight="1">
      <c r="B466" s="471"/>
      <c r="C466" s="471" t="s">
        <v>103</v>
      </c>
      <c r="D466" s="496">
        <v>0</v>
      </c>
      <c r="E466" s="496">
        <v>0</v>
      </c>
      <c r="F466" s="497" t="e">
        <f>SUM((D466-E466)/E466)*100</f>
        <v>#DIV/0!</v>
      </c>
    </row>
    <row r="467" spans="2:6" ht="15" customHeight="1">
      <c r="B467" s="471"/>
      <c r="C467" s="471" t="s">
        <v>98</v>
      </c>
      <c r="D467" s="496">
        <v>0</v>
      </c>
      <c r="E467" s="496">
        <v>0</v>
      </c>
      <c r="F467" s="497" t="e">
        <f>SUM((D467-E467)/E467)*100</f>
        <v>#DIV/0!</v>
      </c>
    </row>
    <row r="468" spans="2:6" ht="15" customHeight="1">
      <c r="B468" s="471"/>
      <c r="C468" s="471" t="s">
        <v>96</v>
      </c>
      <c r="D468" s="496">
        <v>0</v>
      </c>
      <c r="E468" s="496">
        <v>0</v>
      </c>
      <c r="F468" s="497" t="e">
        <f>SUM((D468-E468)/E468)*100</f>
        <v>#DIV/0!</v>
      </c>
    </row>
    <row r="469" spans="2:5" ht="15" customHeight="1">
      <c r="B469" s="471"/>
      <c r="C469" s="471"/>
      <c r="D469" s="496"/>
      <c r="E469" s="496"/>
    </row>
    <row r="470" spans="2:5" ht="15" customHeight="1">
      <c r="B470" s="471"/>
      <c r="C470" s="471"/>
      <c r="D470" s="496"/>
      <c r="E470" s="496"/>
    </row>
    <row r="471" spans="2:5" ht="15" customHeight="1">
      <c r="B471" s="499" t="str">
        <f>"LAPORAN PERUBAHAN  EKUITAS UNTUK PERIODE YANG BERAKHIR SD  "&amp;D8&amp;""</f>
        <v>LAPORAN PERUBAHAN  EKUITAS UNTUK PERIODE YANG BERAKHIR SD  31 Desember 2017</v>
      </c>
      <c r="C471" s="500"/>
      <c r="D471" s="501"/>
      <c r="E471" s="496"/>
    </row>
    <row r="472" spans="2:5" ht="15" customHeight="1">
      <c r="B472" s="502"/>
      <c r="C472" s="503"/>
      <c r="D472" s="504"/>
      <c r="E472" s="496"/>
    </row>
    <row r="473" spans="2:5" ht="15" customHeight="1">
      <c r="B473" s="505" t="s">
        <v>36</v>
      </c>
      <c r="C473" s="479"/>
      <c r="D473" s="506">
        <v>25761865929</v>
      </c>
      <c r="E473" s="506">
        <v>25761865929</v>
      </c>
    </row>
    <row r="474" spans="2:5" ht="15" customHeight="1">
      <c r="B474" s="490" t="s">
        <v>54</v>
      </c>
      <c r="C474" s="482"/>
      <c r="D474" s="481">
        <v>43637070</v>
      </c>
      <c r="E474" s="481">
        <v>43637070</v>
      </c>
    </row>
    <row r="475" spans="2:5" ht="15" customHeight="1">
      <c r="B475" s="491" t="s">
        <v>35</v>
      </c>
      <c r="C475" s="507"/>
      <c r="D475" s="481">
        <v>0</v>
      </c>
      <c r="E475" s="481">
        <v>0</v>
      </c>
    </row>
    <row r="476" spans="2:5" ht="15" customHeight="1">
      <c r="B476" s="484" t="s">
        <v>33</v>
      </c>
      <c r="C476" s="508"/>
      <c r="D476" s="480"/>
      <c r="E476" s="480"/>
    </row>
    <row r="477" spans="2:5" ht="15" customHeight="1">
      <c r="B477" s="484"/>
      <c r="C477" s="479" t="s">
        <v>34</v>
      </c>
      <c r="D477" s="481">
        <v>0</v>
      </c>
      <c r="E477" s="481">
        <v>0</v>
      </c>
    </row>
    <row r="478" spans="2:5" ht="15" customHeight="1">
      <c r="B478" s="490"/>
      <c r="C478" s="478" t="s">
        <v>213</v>
      </c>
      <c r="D478" s="481">
        <v>0</v>
      </c>
      <c r="E478" s="481">
        <v>0</v>
      </c>
    </row>
    <row r="479" spans="2:5" ht="15" customHeight="1">
      <c r="B479" s="490"/>
      <c r="C479" s="478" t="s">
        <v>218</v>
      </c>
      <c r="D479" s="481">
        <v>0</v>
      </c>
      <c r="E479" s="481">
        <v>0</v>
      </c>
    </row>
    <row r="480" spans="2:5" ht="15" customHeight="1">
      <c r="B480" s="490"/>
      <c r="C480" s="478" t="s">
        <v>211</v>
      </c>
      <c r="D480" s="481">
        <v>0</v>
      </c>
      <c r="E480" s="481">
        <v>0</v>
      </c>
    </row>
    <row r="481" spans="2:5" ht="15" customHeight="1">
      <c r="B481" s="486"/>
      <c r="C481" s="478" t="s">
        <v>33</v>
      </c>
      <c r="D481" s="481">
        <v>0</v>
      </c>
      <c r="E481" s="481">
        <v>0</v>
      </c>
    </row>
    <row r="482" spans="2:5" ht="15" customHeight="1">
      <c r="B482" s="486" t="s">
        <v>106</v>
      </c>
      <c r="C482" s="476"/>
      <c r="D482" s="480">
        <f>SUM(D477:D481)</f>
        <v>0</v>
      </c>
      <c r="E482" s="480">
        <f>SUM(E477:E481)</f>
        <v>0</v>
      </c>
    </row>
    <row r="483" spans="2:5" ht="15" customHeight="1">
      <c r="B483" s="491" t="s">
        <v>210</v>
      </c>
      <c r="C483" s="509"/>
      <c r="D483" s="481">
        <v>9282929314</v>
      </c>
      <c r="E483" s="481">
        <v>9282929314</v>
      </c>
    </row>
    <row r="484" spans="2:10" ht="15">
      <c r="B484" s="492" t="s">
        <v>37</v>
      </c>
      <c r="C484" s="510"/>
      <c r="D484" s="511">
        <f>SUM(D473+D474+D475+D482+D483)</f>
        <v>35088432313</v>
      </c>
      <c r="E484" s="511">
        <f>E473+E474+E483</f>
        <v>35088432313</v>
      </c>
      <c r="F484" s="437"/>
      <c r="G484" s="468"/>
      <c r="H484" s="466"/>
      <c r="I484" s="466"/>
      <c r="J484" s="512"/>
    </row>
    <row r="485" spans="2:10" ht="15">
      <c r="B485" s="484"/>
      <c r="C485" s="508"/>
      <c r="D485" s="513"/>
      <c r="E485" s="472"/>
      <c r="F485" s="466"/>
      <c r="G485" s="468"/>
      <c r="H485" s="466"/>
      <c r="I485" s="466"/>
      <c r="J485" s="512"/>
    </row>
    <row r="486" spans="2:10" ht="15">
      <c r="B486" s="484"/>
      <c r="C486" s="508"/>
      <c r="D486" s="513"/>
      <c r="E486" s="472"/>
      <c r="F486" s="466"/>
      <c r="G486" s="468"/>
      <c r="H486" s="466"/>
      <c r="I486" s="466"/>
      <c r="J486" s="512"/>
    </row>
    <row r="487" spans="2:10" ht="15">
      <c r="B487" s="484" t="s">
        <v>212</v>
      </c>
      <c r="C487" s="508"/>
      <c r="D487" s="513"/>
      <c r="E487" s="472"/>
      <c r="F487" s="466"/>
      <c r="G487" s="468"/>
      <c r="H487" s="466"/>
      <c r="I487" s="466"/>
      <c r="J487" s="512"/>
    </row>
    <row r="488" spans="2:10" ht="15">
      <c r="B488" s="484"/>
      <c r="C488" s="508"/>
      <c r="D488" s="513"/>
      <c r="E488" s="472"/>
      <c r="F488" s="466"/>
      <c r="G488" s="468"/>
      <c r="H488" s="466"/>
      <c r="I488" s="466"/>
      <c r="J488" s="512"/>
    </row>
    <row r="489" spans="2:10" ht="15">
      <c r="B489" s="484" t="s">
        <v>34</v>
      </c>
      <c r="C489" s="508"/>
      <c r="D489" s="513"/>
      <c r="E489" s="472"/>
      <c r="F489" s="466"/>
      <c r="G489" s="468"/>
      <c r="H489" s="466"/>
      <c r="I489" s="466"/>
      <c r="J489" s="512"/>
    </row>
    <row r="490" spans="2:10" ht="15">
      <c r="B490" s="484"/>
      <c r="C490" s="514" t="s">
        <v>133</v>
      </c>
      <c r="D490" s="481">
        <v>0</v>
      </c>
      <c r="E490" s="472"/>
      <c r="F490" s="466"/>
      <c r="G490" s="468"/>
      <c r="H490" s="466"/>
      <c r="I490" s="466"/>
      <c r="J490" s="512"/>
    </row>
    <row r="491" spans="2:10" ht="15">
      <c r="B491" s="484"/>
      <c r="C491" s="514" t="s">
        <v>134</v>
      </c>
      <c r="D491" s="481">
        <v>0</v>
      </c>
      <c r="E491" s="472"/>
      <c r="F491" s="466"/>
      <c r="G491" s="468"/>
      <c r="H491" s="466"/>
      <c r="I491" s="466"/>
      <c r="J491" s="512"/>
    </row>
    <row r="492" spans="2:10" ht="15">
      <c r="B492" s="484"/>
      <c r="C492" s="508"/>
      <c r="D492" s="513"/>
      <c r="E492" s="472"/>
      <c r="F492" s="466"/>
      <c r="G492" s="468"/>
      <c r="H492" s="466"/>
      <c r="I492" s="466"/>
      <c r="J492" s="512"/>
    </row>
    <row r="493" spans="2:10" ht="15">
      <c r="B493" s="484" t="s">
        <v>213</v>
      </c>
      <c r="C493" s="508"/>
      <c r="D493" s="513"/>
      <c r="E493" s="472"/>
      <c r="F493" s="466"/>
      <c r="G493" s="468"/>
      <c r="H493" s="466"/>
      <c r="I493" s="466"/>
      <c r="J493" s="512"/>
    </row>
    <row r="494" spans="2:10" ht="15">
      <c r="B494" s="484"/>
      <c r="C494" s="514" t="s">
        <v>89</v>
      </c>
      <c r="D494" s="481">
        <v>0</v>
      </c>
      <c r="E494" s="472"/>
      <c r="F494" s="466"/>
      <c r="G494" s="468"/>
      <c r="H494" s="466"/>
      <c r="I494" s="466"/>
      <c r="J494" s="512"/>
    </row>
    <row r="495" spans="2:10" ht="15">
      <c r="B495" s="484"/>
      <c r="C495" s="514" t="s">
        <v>214</v>
      </c>
      <c r="D495" s="481">
        <v>0</v>
      </c>
      <c r="E495" s="472"/>
      <c r="F495" s="466"/>
      <c r="G495" s="468"/>
      <c r="H495" s="466"/>
      <c r="I495" s="466"/>
      <c r="J495" s="512"/>
    </row>
    <row r="496" spans="2:10" ht="15">
      <c r="B496" s="484"/>
      <c r="C496" s="508"/>
      <c r="D496" s="513"/>
      <c r="E496" s="472"/>
      <c r="F496" s="466"/>
      <c r="G496" s="468"/>
      <c r="H496" s="466"/>
      <c r="I496" s="466"/>
      <c r="J496" s="512"/>
    </row>
    <row r="497" spans="2:10" ht="15">
      <c r="B497" s="484" t="s">
        <v>215</v>
      </c>
      <c r="C497" s="508"/>
      <c r="D497" s="513"/>
      <c r="E497" s="472"/>
      <c r="F497" s="466"/>
      <c r="G497" s="468"/>
      <c r="H497" s="466"/>
      <c r="I497" s="466"/>
      <c r="J497" s="512"/>
    </row>
    <row r="498" spans="2:10" ht="15">
      <c r="B498" s="484"/>
      <c r="C498" s="514" t="s">
        <v>47</v>
      </c>
      <c r="D498" s="481">
        <v>0</v>
      </c>
      <c r="E498" s="472"/>
      <c r="F498" s="466"/>
      <c r="G498" s="468"/>
      <c r="H498" s="466"/>
      <c r="I498" s="466"/>
      <c r="J498" s="512"/>
    </row>
    <row r="499" spans="2:10" ht="15">
      <c r="B499" s="484"/>
      <c r="C499" s="514" t="s">
        <v>52</v>
      </c>
      <c r="D499" s="481">
        <v>0</v>
      </c>
      <c r="E499" s="472"/>
      <c r="F499" s="466"/>
      <c r="G499" s="468"/>
      <c r="H499" s="466"/>
      <c r="I499" s="466"/>
      <c r="J499" s="512"/>
    </row>
    <row r="500" spans="2:10" ht="15">
      <c r="B500" s="484"/>
      <c r="C500" s="508"/>
      <c r="D500" s="513"/>
      <c r="E500" s="472"/>
      <c r="F500" s="466"/>
      <c r="G500" s="468"/>
      <c r="H500" s="466"/>
      <c r="I500" s="466"/>
      <c r="J500" s="512"/>
    </row>
    <row r="501" spans="2:10" ht="15">
      <c r="B501" s="484" t="s">
        <v>211</v>
      </c>
      <c r="C501" s="508"/>
      <c r="D501" s="513"/>
      <c r="E501" s="472"/>
      <c r="F501" s="466"/>
      <c r="G501" s="468"/>
      <c r="H501" s="466"/>
      <c r="I501" s="466"/>
      <c r="J501" s="512"/>
    </row>
    <row r="502" spans="2:10" ht="15">
      <c r="B502" s="484"/>
      <c r="C502" s="514" t="s">
        <v>216</v>
      </c>
      <c r="D502" s="481">
        <v>0</v>
      </c>
      <c r="E502" s="472"/>
      <c r="F502" s="466"/>
      <c r="G502" s="468"/>
      <c r="H502" s="466"/>
      <c r="I502" s="466"/>
      <c r="J502" s="512"/>
    </row>
    <row r="503" spans="2:10" ht="15">
      <c r="B503" s="484"/>
      <c r="C503" s="514" t="s">
        <v>191</v>
      </c>
      <c r="D503" s="481">
        <v>0</v>
      </c>
      <c r="E503" s="472"/>
      <c r="F503" s="466"/>
      <c r="G503" s="468"/>
      <c r="H503" s="466"/>
      <c r="I503" s="466"/>
      <c r="J503" s="512"/>
    </row>
    <row r="504" spans="2:10" ht="15">
      <c r="B504" s="484"/>
      <c r="C504" s="508"/>
      <c r="D504" s="513"/>
      <c r="E504" s="472"/>
      <c r="F504" s="466"/>
      <c r="G504" s="468"/>
      <c r="H504" s="466"/>
      <c r="I504" s="466"/>
      <c r="J504" s="512"/>
    </row>
    <row r="505" spans="2:10" ht="15">
      <c r="B505" s="484" t="s">
        <v>217</v>
      </c>
      <c r="C505" s="508"/>
      <c r="D505" s="513"/>
      <c r="E505" s="472"/>
      <c r="F505" s="466"/>
      <c r="G505" s="468"/>
      <c r="H505" s="466"/>
      <c r="I505" s="466"/>
      <c r="J505" s="512"/>
    </row>
    <row r="506" spans="2:10" ht="15">
      <c r="B506" s="484"/>
      <c r="C506" s="514" t="s">
        <v>192</v>
      </c>
      <c r="D506" s="481">
        <v>0</v>
      </c>
      <c r="E506" s="472"/>
      <c r="F506" s="466"/>
      <c r="G506" s="468"/>
      <c r="H506" s="466"/>
      <c r="I506" s="466"/>
      <c r="J506" s="512"/>
    </row>
    <row r="507" spans="2:10" ht="15">
      <c r="B507" s="484"/>
      <c r="C507" s="508"/>
      <c r="D507" s="513"/>
      <c r="E507" s="472"/>
      <c r="F507" s="466"/>
      <c r="G507" s="468"/>
      <c r="H507" s="466"/>
      <c r="I507" s="466"/>
      <c r="J507" s="512"/>
    </row>
    <row r="508" spans="2:10" ht="15">
      <c r="B508" s="484"/>
      <c r="C508" s="508"/>
      <c r="D508" s="513"/>
      <c r="E508" s="472"/>
      <c r="F508" s="466"/>
      <c r="G508" s="468"/>
      <c r="H508" s="466"/>
      <c r="I508" s="466"/>
      <c r="J508" s="512"/>
    </row>
    <row r="509" spans="2:10" ht="15">
      <c r="B509" s="484"/>
      <c r="C509" s="508"/>
      <c r="D509" s="513"/>
      <c r="E509" s="472"/>
      <c r="F509" s="466"/>
      <c r="G509" s="468"/>
      <c r="H509" s="466"/>
      <c r="I509" s="466"/>
      <c r="J509" s="512"/>
    </row>
    <row r="510" spans="2:10" ht="15">
      <c r="B510" s="484"/>
      <c r="C510" s="508"/>
      <c r="D510" s="513"/>
      <c r="E510" s="472"/>
      <c r="F510" s="466"/>
      <c r="G510" s="468"/>
      <c r="H510" s="466"/>
      <c r="I510" s="466"/>
      <c r="J510" s="512"/>
    </row>
    <row r="511" ht="15">
      <c r="D511" s="122"/>
    </row>
    <row r="512" ht="15">
      <c r="D512" s="122"/>
    </row>
    <row r="513" ht="15">
      <c r="D513" s="122"/>
    </row>
    <row r="514" ht="15">
      <c r="D514" s="122"/>
    </row>
    <row r="515" ht="15">
      <c r="D515" s="122"/>
    </row>
    <row r="516" ht="15">
      <c r="D516" s="122"/>
    </row>
    <row r="517" ht="15">
      <c r="D517" s="122"/>
    </row>
    <row r="518" ht="15">
      <c r="D518" s="122"/>
    </row>
    <row r="519" ht="15">
      <c r="D519" s="122"/>
    </row>
    <row r="520" ht="15">
      <c r="D520" s="122"/>
    </row>
    <row r="521" ht="15">
      <c r="D521" s="122"/>
    </row>
    <row r="522" ht="15">
      <c r="D522" s="122"/>
    </row>
    <row r="523" ht="15">
      <c r="D523" s="122"/>
    </row>
    <row r="524" ht="15">
      <c r="D524" s="122"/>
    </row>
    <row r="525" ht="15">
      <c r="D525" s="122"/>
    </row>
    <row r="526" ht="15">
      <c r="D526" s="122"/>
    </row>
    <row r="527" ht="15">
      <c r="D527" s="122"/>
    </row>
    <row r="528" ht="42.75" customHeight="1"/>
  </sheetData>
  <sheetProtection/>
  <mergeCells count="11">
    <mergeCell ref="B383:C383"/>
    <mergeCell ref="B7:C7"/>
    <mergeCell ref="B10:C10"/>
    <mergeCell ref="B13:C13"/>
    <mergeCell ref="B14:C14"/>
    <mergeCell ref="B15:C15"/>
    <mergeCell ref="B1:D1"/>
    <mergeCell ref="B2:C2"/>
    <mergeCell ref="B4:C4"/>
    <mergeCell ref="B5:C5"/>
    <mergeCell ref="B6:C6"/>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B1:N152"/>
  <sheetViews>
    <sheetView zoomScale="90" zoomScaleNormal="90" zoomScalePageLayoutView="0" workbookViewId="0" topLeftCell="A64">
      <selection activeCell="E11" sqref="E11"/>
    </sheetView>
  </sheetViews>
  <sheetFormatPr defaultColWidth="9.140625" defaultRowHeight="15"/>
  <cols>
    <col min="1" max="1" width="1.8515625" style="150" customWidth="1"/>
    <col min="2" max="2" width="4.8515625" style="155" customWidth="1"/>
    <col min="3" max="3" width="49.140625" style="155" customWidth="1"/>
    <col min="4" max="4" width="21.140625" style="156" customWidth="1"/>
    <col min="5" max="5" width="22.57421875" style="156" customWidth="1"/>
    <col min="6" max="6" width="21.00390625" style="153" customWidth="1"/>
    <col min="7" max="7" width="21.00390625" style="150" customWidth="1"/>
    <col min="8" max="8" width="21.7109375" style="156" customWidth="1"/>
    <col min="9" max="9" width="21.8515625" style="156" customWidth="1"/>
    <col min="10" max="10" width="12.421875" style="150" customWidth="1"/>
    <col min="11" max="11" width="19.8515625" style="150" customWidth="1"/>
    <col min="12" max="12" width="22.421875" style="156" customWidth="1"/>
    <col min="13" max="13" width="9.140625" style="150" customWidth="1"/>
    <col min="14" max="14" width="15.00390625" style="150" customWidth="1"/>
    <col min="15" max="16384" width="9.140625" style="150" customWidth="1"/>
  </cols>
  <sheetData>
    <row r="1" ht="15">
      <c r="C1" s="155" t="s">
        <v>1686</v>
      </c>
    </row>
    <row r="2" ht="15">
      <c r="B2" s="157"/>
    </row>
    <row r="3" spans="2:6" ht="36.75" customHeight="1">
      <c r="B3" s="925" t="s">
        <v>1234</v>
      </c>
      <c r="C3" s="926"/>
      <c r="D3" s="158" t="s">
        <v>1236</v>
      </c>
      <c r="E3" s="159" t="s">
        <v>1235</v>
      </c>
      <c r="F3" s="159" t="s">
        <v>1537</v>
      </c>
    </row>
    <row r="4" spans="2:6" ht="15">
      <c r="B4" s="160" t="s">
        <v>225</v>
      </c>
      <c r="C4" s="161"/>
      <c r="D4" s="162">
        <f>SUM(D5:D7)</f>
        <v>0</v>
      </c>
      <c r="E4" s="162">
        <f>SUM(E5:E7)</f>
        <v>0</v>
      </c>
      <c r="F4" s="162">
        <f>E4-D4</f>
        <v>0</v>
      </c>
    </row>
    <row r="5" spans="2:6" ht="15">
      <c r="B5" s="163" t="s">
        <v>226</v>
      </c>
      <c r="C5" s="164"/>
      <c r="D5" s="165">
        <v>0</v>
      </c>
      <c r="E5" s="165">
        <v>0</v>
      </c>
      <c r="F5" s="162">
        <f aca="true" t="shared" si="0" ref="F5:F13">E5-D5</f>
        <v>0</v>
      </c>
    </row>
    <row r="6" spans="2:6" ht="15">
      <c r="B6" s="163" t="s">
        <v>245</v>
      </c>
      <c r="C6" s="164"/>
      <c r="D6" s="165">
        <v>0</v>
      </c>
      <c r="E6" s="165">
        <v>0</v>
      </c>
      <c r="F6" s="162">
        <f t="shared" si="0"/>
        <v>0</v>
      </c>
    </row>
    <row r="7" spans="2:6" ht="15">
      <c r="B7" s="163" t="s">
        <v>246</v>
      </c>
      <c r="C7" s="164"/>
      <c r="D7" s="165">
        <v>0</v>
      </c>
      <c r="E7" s="165">
        <v>0</v>
      </c>
      <c r="F7" s="162">
        <f t="shared" si="0"/>
        <v>0</v>
      </c>
    </row>
    <row r="8" spans="2:6" ht="15">
      <c r="B8" s="923"/>
      <c r="C8" s="924"/>
      <c r="D8" s="166"/>
      <c r="E8" s="166"/>
      <c r="F8" s="162">
        <f t="shared" si="0"/>
        <v>0</v>
      </c>
    </row>
    <row r="9" spans="2:6" ht="15">
      <c r="B9" s="167" t="s">
        <v>194</v>
      </c>
      <c r="C9" s="161"/>
      <c r="D9" s="168">
        <f>SUM(D10:D13)</f>
        <v>9772034508</v>
      </c>
      <c r="E9" s="168">
        <f>SUM(E10:E13)</f>
        <v>9772034508</v>
      </c>
      <c r="F9" s="162">
        <f t="shared" si="0"/>
        <v>0</v>
      </c>
    </row>
    <row r="10" spans="2:6" ht="15">
      <c r="B10" s="163" t="s">
        <v>240</v>
      </c>
      <c r="C10" s="164"/>
      <c r="D10" s="166">
        <v>3470534508</v>
      </c>
      <c r="E10" s="166">
        <v>3470534508</v>
      </c>
      <c r="F10" s="162">
        <f t="shared" si="0"/>
        <v>0</v>
      </c>
    </row>
    <row r="11" spans="2:6" ht="15">
      <c r="B11" s="169" t="s">
        <v>44</v>
      </c>
      <c r="C11" s="164"/>
      <c r="D11" s="166">
        <v>6301500000</v>
      </c>
      <c r="E11" s="166">
        <v>6301500000</v>
      </c>
      <c r="F11" s="162">
        <f t="shared" si="0"/>
        <v>0</v>
      </c>
    </row>
    <row r="12" spans="2:6" ht="15">
      <c r="B12" s="169" t="s">
        <v>232</v>
      </c>
      <c r="C12" s="164"/>
      <c r="D12" s="166"/>
      <c r="E12" s="166">
        <f>D97</f>
        <v>0</v>
      </c>
      <c r="F12" s="162">
        <f t="shared" si="0"/>
        <v>0</v>
      </c>
    </row>
    <row r="13" spans="2:6" ht="15">
      <c r="B13" s="163" t="s">
        <v>244</v>
      </c>
      <c r="C13" s="164"/>
      <c r="D13" s="166"/>
      <c r="E13" s="166">
        <f>D98</f>
        <v>0</v>
      </c>
      <c r="F13" s="162">
        <f t="shared" si="0"/>
        <v>0</v>
      </c>
    </row>
    <row r="14" ht="15">
      <c r="K14" s="608"/>
    </row>
    <row r="16" spans="2:12" s="170" customFormat="1" ht="17.25" customHeight="1">
      <c r="B16" s="930" t="s">
        <v>1213</v>
      </c>
      <c r="C16" s="931"/>
      <c r="D16" s="941">
        <f>'2.ISIAN DATA SKPD'!D11</f>
        <v>2017</v>
      </c>
      <c r="E16" s="942"/>
      <c r="F16" s="942"/>
      <c r="G16" s="943"/>
      <c r="H16" s="927">
        <f>'2.ISIAN DATA SKPD'!D12</f>
        <v>2016</v>
      </c>
      <c r="I16" s="928"/>
      <c r="J16" s="929"/>
      <c r="K16" s="939" t="s">
        <v>1503</v>
      </c>
      <c r="L16" s="933" t="s">
        <v>1502</v>
      </c>
    </row>
    <row r="17" spans="2:12" ht="51.75" customHeight="1">
      <c r="B17" s="932"/>
      <c r="C17" s="932"/>
      <c r="D17" s="158" t="s">
        <v>1431</v>
      </c>
      <c r="E17" s="159" t="str">
        <f>"Realisasi sd "&amp;'2.ISIAN DATA SKPD'!D8&amp;""</f>
        <v>Realisasi sd 31 Desember 2017</v>
      </c>
      <c r="F17" s="171" t="s">
        <v>1432</v>
      </c>
      <c r="G17" s="172" t="s">
        <v>1501</v>
      </c>
      <c r="H17" s="158" t="s">
        <v>222</v>
      </c>
      <c r="I17" s="159" t="str">
        <f>"Realisasi  sd 31 Des 2016"</f>
        <v>Realisasi  sd 31 Des 2016</v>
      </c>
      <c r="J17" s="173" t="s">
        <v>1432</v>
      </c>
      <c r="K17" s="940"/>
      <c r="L17" s="934"/>
    </row>
    <row r="18" spans="2:12" s="181" customFormat="1" ht="15">
      <c r="B18" s="160"/>
      <c r="C18" s="174" t="s">
        <v>225</v>
      </c>
      <c r="D18" s="175">
        <f>D19+D25+D29</f>
        <v>0</v>
      </c>
      <c r="E18" s="175">
        <f>E19+E25+E29</f>
        <v>0</v>
      </c>
      <c r="F18" s="176" t="e">
        <f aca="true" t="shared" si="1" ref="F18:F32">SUM(E18/D18)*100</f>
        <v>#DIV/0!</v>
      </c>
      <c r="G18" s="177">
        <f>E18-D18</f>
        <v>0</v>
      </c>
      <c r="H18" s="531">
        <f>H19+H25+H29</f>
        <v>0</v>
      </c>
      <c r="I18" s="531">
        <f>I19+I25+I29</f>
        <v>0</v>
      </c>
      <c r="J18" s="178" t="e">
        <f aca="true" t="shared" si="2" ref="J18:J32">SUM(I18/H18)*100</f>
        <v>#DIV/0!</v>
      </c>
      <c r="K18" s="179" t="e">
        <f>(E18-I18)/I18*100</f>
        <v>#DIV/0!</v>
      </c>
      <c r="L18" s="180">
        <f>E18-I18</f>
        <v>0</v>
      </c>
    </row>
    <row r="19" spans="2:12" s="181" customFormat="1" ht="15">
      <c r="B19" s="182"/>
      <c r="C19" s="183" t="s">
        <v>226</v>
      </c>
      <c r="D19" s="184">
        <f>SUM(D20:D23)</f>
        <v>0</v>
      </c>
      <c r="E19" s="184">
        <f>SUM(E20:E23)</f>
        <v>0</v>
      </c>
      <c r="F19" s="176" t="e">
        <f t="shared" si="1"/>
        <v>#DIV/0!</v>
      </c>
      <c r="G19" s="177">
        <f aca="true" t="shared" si="3" ref="G19:G32">E19-D19</f>
        <v>0</v>
      </c>
      <c r="H19" s="532">
        <f>SUM(H20:H23)</f>
        <v>0</v>
      </c>
      <c r="I19" s="532">
        <f>SUM(I20:I23)</f>
        <v>0</v>
      </c>
      <c r="J19" s="178" t="e">
        <f t="shared" si="2"/>
        <v>#DIV/0!</v>
      </c>
      <c r="K19" s="179" t="e">
        <f aca="true" t="shared" si="4" ref="K19:K32">(E19-I19)/I19*100</f>
        <v>#DIV/0!</v>
      </c>
      <c r="L19" s="180">
        <f aca="true" t="shared" si="5" ref="L19:L24">E19-I19</f>
        <v>0</v>
      </c>
    </row>
    <row r="20" spans="2:12" ht="15">
      <c r="B20" s="163"/>
      <c r="C20" s="185" t="s">
        <v>229</v>
      </c>
      <c r="D20" s="186">
        <v>0</v>
      </c>
      <c r="E20" s="186">
        <v>0</v>
      </c>
      <c r="F20" s="187" t="e">
        <f t="shared" si="1"/>
        <v>#DIV/0!</v>
      </c>
      <c r="G20" s="177">
        <f t="shared" si="3"/>
        <v>0</v>
      </c>
      <c r="H20" s="204">
        <v>0</v>
      </c>
      <c r="I20" s="204">
        <v>0</v>
      </c>
      <c r="J20" s="188" t="e">
        <f t="shared" si="2"/>
        <v>#DIV/0!</v>
      </c>
      <c r="K20" s="179" t="e">
        <f t="shared" si="4"/>
        <v>#DIV/0!</v>
      </c>
      <c r="L20" s="180">
        <f t="shared" si="5"/>
        <v>0</v>
      </c>
    </row>
    <row r="21" spans="2:12" ht="15">
      <c r="B21" s="163"/>
      <c r="C21" s="185" t="s">
        <v>230</v>
      </c>
      <c r="D21" s="186">
        <v>0</v>
      </c>
      <c r="E21" s="186">
        <v>0</v>
      </c>
      <c r="F21" s="187" t="e">
        <f t="shared" si="1"/>
        <v>#DIV/0!</v>
      </c>
      <c r="G21" s="177">
        <f t="shared" si="3"/>
        <v>0</v>
      </c>
      <c r="H21" s="204">
        <v>0</v>
      </c>
      <c r="I21" s="204">
        <v>0</v>
      </c>
      <c r="J21" s="188" t="e">
        <f t="shared" si="2"/>
        <v>#DIV/0!</v>
      </c>
      <c r="K21" s="179" t="e">
        <f t="shared" si="4"/>
        <v>#DIV/0!</v>
      </c>
      <c r="L21" s="180">
        <f t="shared" si="5"/>
        <v>0</v>
      </c>
    </row>
    <row r="22" spans="2:12" ht="15">
      <c r="B22" s="163"/>
      <c r="C22" s="185" t="s">
        <v>231</v>
      </c>
      <c r="D22" s="186">
        <v>0</v>
      </c>
      <c r="E22" s="186">
        <v>0</v>
      </c>
      <c r="F22" s="187" t="e">
        <f t="shared" si="1"/>
        <v>#DIV/0!</v>
      </c>
      <c r="G22" s="177">
        <f t="shared" si="3"/>
        <v>0</v>
      </c>
      <c r="H22" s="204">
        <v>0</v>
      </c>
      <c r="I22" s="204">
        <v>0</v>
      </c>
      <c r="J22" s="188" t="e">
        <f t="shared" si="2"/>
        <v>#DIV/0!</v>
      </c>
      <c r="K22" s="179" t="e">
        <f t="shared" si="4"/>
        <v>#DIV/0!</v>
      </c>
      <c r="L22" s="180">
        <f t="shared" si="5"/>
        <v>0</v>
      </c>
    </row>
    <row r="23" spans="2:12" ht="15">
      <c r="B23" s="163"/>
      <c r="C23" s="185" t="s">
        <v>1245</v>
      </c>
      <c r="D23" s="200">
        <f>D24</f>
        <v>0</v>
      </c>
      <c r="E23" s="200">
        <f>E24</f>
        <v>0</v>
      </c>
      <c r="F23" s="176" t="e">
        <f t="shared" si="1"/>
        <v>#DIV/0!</v>
      </c>
      <c r="G23" s="177">
        <f t="shared" si="3"/>
        <v>0</v>
      </c>
      <c r="H23" s="516">
        <f>H24</f>
        <v>0</v>
      </c>
      <c r="I23" s="516">
        <f>I24</f>
        <v>0</v>
      </c>
      <c r="J23" s="178" t="e">
        <f t="shared" si="2"/>
        <v>#DIV/0!</v>
      </c>
      <c r="K23" s="179" t="e">
        <f t="shared" si="4"/>
        <v>#DIV/0!</v>
      </c>
      <c r="L23" s="180">
        <f t="shared" si="5"/>
        <v>0</v>
      </c>
    </row>
    <row r="24" spans="2:12" ht="15">
      <c r="B24" s="163"/>
      <c r="C24" s="610" t="s">
        <v>1687</v>
      </c>
      <c r="D24" s="186">
        <v>0</v>
      </c>
      <c r="E24" s="186">
        <v>0</v>
      </c>
      <c r="F24" s="187" t="e">
        <f t="shared" si="1"/>
        <v>#DIV/0!</v>
      </c>
      <c r="G24" s="177">
        <f t="shared" si="3"/>
        <v>0</v>
      </c>
      <c r="H24" s="519">
        <v>0</v>
      </c>
      <c r="I24" s="519">
        <v>0</v>
      </c>
      <c r="J24" s="188" t="e">
        <f t="shared" si="2"/>
        <v>#DIV/0!</v>
      </c>
      <c r="K24" s="179" t="e">
        <f t="shared" si="4"/>
        <v>#DIV/0!</v>
      </c>
      <c r="L24" s="180">
        <f t="shared" si="5"/>
        <v>0</v>
      </c>
    </row>
    <row r="25" spans="2:12" s="181" customFormat="1" ht="15">
      <c r="B25" s="182"/>
      <c r="C25" s="183" t="s">
        <v>245</v>
      </c>
      <c r="D25" s="184">
        <f>SUM(D26:D28)</f>
        <v>0</v>
      </c>
      <c r="E25" s="184">
        <f>SUM(E26:E28)</f>
        <v>0</v>
      </c>
      <c r="F25" s="176" t="e">
        <f t="shared" si="1"/>
        <v>#DIV/0!</v>
      </c>
      <c r="G25" s="177">
        <f t="shared" si="3"/>
        <v>0</v>
      </c>
      <c r="H25" s="532">
        <f>SUM(H26:H28)</f>
        <v>0</v>
      </c>
      <c r="I25" s="532">
        <f>SUM(I26:I28)</f>
        <v>0</v>
      </c>
      <c r="J25" s="178" t="e">
        <f t="shared" si="2"/>
        <v>#DIV/0!</v>
      </c>
      <c r="K25" s="179" t="e">
        <f t="shared" si="4"/>
        <v>#DIV/0!</v>
      </c>
      <c r="L25" s="184">
        <f>SUM(L26:L28)</f>
        <v>0</v>
      </c>
    </row>
    <row r="26" spans="2:12" ht="15">
      <c r="B26" s="163"/>
      <c r="C26" s="185" t="s">
        <v>1244</v>
      </c>
      <c r="D26" s="186">
        <v>0</v>
      </c>
      <c r="E26" s="186">
        <v>0</v>
      </c>
      <c r="F26" s="187" t="e">
        <f t="shared" si="1"/>
        <v>#DIV/0!</v>
      </c>
      <c r="G26" s="177">
        <f t="shared" si="3"/>
        <v>0</v>
      </c>
      <c r="H26" s="519">
        <v>0</v>
      </c>
      <c r="I26" s="519">
        <v>0</v>
      </c>
      <c r="J26" s="188" t="e">
        <f t="shared" si="2"/>
        <v>#DIV/0!</v>
      </c>
      <c r="K26" s="179" t="e">
        <f t="shared" si="4"/>
        <v>#DIV/0!</v>
      </c>
      <c r="L26" s="189">
        <f aca="true" t="shared" si="6" ref="L26:L32">E26-I26</f>
        <v>0</v>
      </c>
    </row>
    <row r="27" spans="2:12" ht="15">
      <c r="B27" s="163"/>
      <c r="C27" s="185" t="s">
        <v>1174</v>
      </c>
      <c r="D27" s="186">
        <v>0</v>
      </c>
      <c r="E27" s="186">
        <v>0</v>
      </c>
      <c r="F27" s="187" t="e">
        <f t="shared" si="1"/>
        <v>#DIV/0!</v>
      </c>
      <c r="G27" s="177">
        <f t="shared" si="3"/>
        <v>0</v>
      </c>
      <c r="H27" s="519">
        <v>0</v>
      </c>
      <c r="I27" s="519">
        <v>0</v>
      </c>
      <c r="J27" s="188" t="e">
        <f t="shared" si="2"/>
        <v>#DIV/0!</v>
      </c>
      <c r="K27" s="179" t="e">
        <f t="shared" si="4"/>
        <v>#DIV/0!</v>
      </c>
      <c r="L27" s="189">
        <f t="shared" si="6"/>
        <v>0</v>
      </c>
    </row>
    <row r="28" spans="2:12" ht="15">
      <c r="B28" s="190"/>
      <c r="C28" s="185" t="s">
        <v>1507</v>
      </c>
      <c r="D28" s="186">
        <v>0</v>
      </c>
      <c r="E28" s="186">
        <v>0</v>
      </c>
      <c r="F28" s="187" t="e">
        <f>SUM(E28/D28)*100</f>
        <v>#DIV/0!</v>
      </c>
      <c r="G28" s="177">
        <f t="shared" si="3"/>
        <v>0</v>
      </c>
      <c r="H28" s="519">
        <v>0</v>
      </c>
      <c r="I28" s="519">
        <v>0</v>
      </c>
      <c r="J28" s="188" t="e">
        <f>SUM(I28/H28)*100</f>
        <v>#DIV/0!</v>
      </c>
      <c r="K28" s="179" t="e">
        <f t="shared" si="4"/>
        <v>#DIV/0!</v>
      </c>
      <c r="L28" s="189">
        <f>E28-I28</f>
        <v>0</v>
      </c>
    </row>
    <row r="29" spans="2:12" s="181" customFormat="1" ht="15">
      <c r="B29" s="182"/>
      <c r="C29" s="183" t="s">
        <v>246</v>
      </c>
      <c r="D29" s="184">
        <f>SUM(D30:D32)</f>
        <v>0</v>
      </c>
      <c r="E29" s="184">
        <f>SUM(E30:E32)</f>
        <v>0</v>
      </c>
      <c r="F29" s="176" t="e">
        <f t="shared" si="1"/>
        <v>#DIV/0!</v>
      </c>
      <c r="G29" s="177">
        <f t="shared" si="3"/>
        <v>0</v>
      </c>
      <c r="H29" s="532">
        <f>SUM(H30:H32)</f>
        <v>0</v>
      </c>
      <c r="I29" s="532">
        <f>SUM(I30:I32)</f>
        <v>0</v>
      </c>
      <c r="J29" s="178" t="e">
        <f t="shared" si="2"/>
        <v>#DIV/0!</v>
      </c>
      <c r="K29" s="179" t="e">
        <f t="shared" si="4"/>
        <v>#DIV/0!</v>
      </c>
      <c r="L29" s="180">
        <f t="shared" si="6"/>
        <v>0</v>
      </c>
    </row>
    <row r="30" spans="2:12" ht="15">
      <c r="B30" s="163"/>
      <c r="C30" s="185" t="s">
        <v>251</v>
      </c>
      <c r="D30" s="186">
        <v>0</v>
      </c>
      <c r="E30" s="186">
        <v>0</v>
      </c>
      <c r="F30" s="187" t="e">
        <f t="shared" si="1"/>
        <v>#DIV/0!</v>
      </c>
      <c r="G30" s="177">
        <f t="shared" si="3"/>
        <v>0</v>
      </c>
      <c r="H30" s="519">
        <v>0</v>
      </c>
      <c r="I30" s="519">
        <v>0</v>
      </c>
      <c r="J30" s="188" t="e">
        <f t="shared" si="2"/>
        <v>#DIV/0!</v>
      </c>
      <c r="K30" s="179" t="e">
        <f t="shared" si="4"/>
        <v>#DIV/0!</v>
      </c>
      <c r="L30" s="189">
        <f t="shared" si="6"/>
        <v>0</v>
      </c>
    </row>
    <row r="31" spans="2:12" ht="15">
      <c r="B31" s="163"/>
      <c r="C31" s="185" t="s">
        <v>252</v>
      </c>
      <c r="D31" s="186">
        <v>0</v>
      </c>
      <c r="E31" s="186">
        <v>0</v>
      </c>
      <c r="F31" s="187" t="e">
        <f t="shared" si="1"/>
        <v>#DIV/0!</v>
      </c>
      <c r="G31" s="177">
        <f t="shared" si="3"/>
        <v>0</v>
      </c>
      <c r="H31" s="519">
        <v>0</v>
      </c>
      <c r="I31" s="519">
        <v>0</v>
      </c>
      <c r="J31" s="188" t="e">
        <f t="shared" si="2"/>
        <v>#DIV/0!</v>
      </c>
      <c r="K31" s="179" t="e">
        <f t="shared" si="4"/>
        <v>#DIV/0!</v>
      </c>
      <c r="L31" s="189">
        <f t="shared" si="6"/>
        <v>0</v>
      </c>
    </row>
    <row r="32" spans="2:12" ht="15">
      <c r="B32" s="163"/>
      <c r="C32" s="191" t="s">
        <v>191</v>
      </c>
      <c r="D32" s="186">
        <v>0</v>
      </c>
      <c r="E32" s="186">
        <v>0</v>
      </c>
      <c r="F32" s="187" t="e">
        <f t="shared" si="1"/>
        <v>#DIV/0!</v>
      </c>
      <c r="G32" s="177">
        <f t="shared" si="3"/>
        <v>0</v>
      </c>
      <c r="H32" s="519">
        <v>0</v>
      </c>
      <c r="I32" s="519">
        <v>0</v>
      </c>
      <c r="J32" s="188" t="e">
        <f t="shared" si="2"/>
        <v>#DIV/0!</v>
      </c>
      <c r="K32" s="179" t="e">
        <f t="shared" si="4"/>
        <v>#DIV/0!</v>
      </c>
      <c r="L32" s="189">
        <f t="shared" si="6"/>
        <v>0</v>
      </c>
    </row>
    <row r="33" spans="6:8" ht="15">
      <c r="F33" s="192"/>
      <c r="G33" s="193"/>
      <c r="H33" s="194"/>
    </row>
    <row r="34" spans="6:8" ht="15">
      <c r="F34" s="192"/>
      <c r="G34" s="195"/>
      <c r="H34" s="194"/>
    </row>
    <row r="35" spans="2:12" ht="15">
      <c r="B35" s="930" t="s">
        <v>256</v>
      </c>
      <c r="C35" s="931"/>
      <c r="D35" s="944">
        <f>D16</f>
        <v>2017</v>
      </c>
      <c r="E35" s="945"/>
      <c r="F35" s="945"/>
      <c r="G35" s="946"/>
      <c r="H35" s="935">
        <f>H16</f>
        <v>2016</v>
      </c>
      <c r="I35" s="936"/>
      <c r="J35" s="937"/>
      <c r="K35" s="939" t="str">
        <f>K16</f>
        <v>%   +/-    Real dari Th Lalu</v>
      </c>
      <c r="L35" s="933" t="str">
        <f>L16</f>
        <v>Jml  Realisasi    +/-    dari Thn Lalu Rp.</v>
      </c>
    </row>
    <row r="36" spans="2:12" ht="31.5" customHeight="1">
      <c r="B36" s="932"/>
      <c r="C36" s="938"/>
      <c r="D36" s="158" t="str">
        <f>D17</f>
        <v>Anggaran 2017</v>
      </c>
      <c r="E36" s="159" t="str">
        <f>E17</f>
        <v>Realisasi sd 31 Desember 2017</v>
      </c>
      <c r="F36" s="171" t="str">
        <f>F17</f>
        <v>% Realisasi Anggaran</v>
      </c>
      <c r="G36" s="172" t="s">
        <v>1501</v>
      </c>
      <c r="H36" s="158" t="str">
        <f>H17</f>
        <v>Anggaran 2016</v>
      </c>
      <c r="I36" s="159" t="str">
        <f>I17</f>
        <v>Realisasi  sd 31 Des 2016</v>
      </c>
      <c r="J36" s="173" t="str">
        <f>J17</f>
        <v>% Realisasi Anggaran</v>
      </c>
      <c r="K36" s="940"/>
      <c r="L36" s="934"/>
    </row>
    <row r="37" spans="2:12" s="181" customFormat="1" ht="15">
      <c r="B37" s="160"/>
      <c r="C37" s="196" t="s">
        <v>194</v>
      </c>
      <c r="D37" s="197">
        <f>D38+D68+D97+D98</f>
        <v>9772034508</v>
      </c>
      <c r="E37" s="197">
        <f>E38+E68+E97+E98</f>
        <v>9332242166</v>
      </c>
      <c r="F37" s="176">
        <f>SUM(E37/D37)*100</f>
        <v>95.49948026032902</v>
      </c>
      <c r="G37" s="177">
        <f aca="true" t="shared" si="7" ref="G37:G81">D37-E37</f>
        <v>439792342</v>
      </c>
      <c r="H37" s="515">
        <f>H38+H68+H97+H98</f>
        <v>7562855000</v>
      </c>
      <c r="I37" s="515">
        <f>I38+I68+I97+I98</f>
        <v>7298213492</v>
      </c>
      <c r="J37" s="178">
        <f aca="true" t="shared" si="8" ref="J37:J91">SUM(I37/H37)*100</f>
        <v>96.5007724199393</v>
      </c>
      <c r="K37" s="179">
        <f aca="true" t="shared" si="9" ref="K37:K81">(E37-I37)/I37*100</f>
        <v>27.870227093652687</v>
      </c>
      <c r="L37" s="515">
        <f>L38+L68+L97+L98</f>
        <v>2034028674</v>
      </c>
    </row>
    <row r="38" spans="2:12" s="181" customFormat="1" ht="15">
      <c r="B38" s="198"/>
      <c r="C38" s="199" t="s">
        <v>1398</v>
      </c>
      <c r="D38" s="197">
        <f>D39+D47</f>
        <v>3470534508</v>
      </c>
      <c r="E38" s="200">
        <f>E39+E47</f>
        <v>3075286406</v>
      </c>
      <c r="F38" s="176">
        <f aca="true" t="shared" si="10" ref="F38:F97">SUM(E38/D38)*100</f>
        <v>88.6113190608275</v>
      </c>
      <c r="G38" s="177">
        <f t="shared" si="7"/>
        <v>395248102</v>
      </c>
      <c r="H38" s="515">
        <f>H39+H47</f>
        <v>5086355000</v>
      </c>
      <c r="I38" s="516">
        <f>I39+I47</f>
        <v>4832372492</v>
      </c>
      <c r="J38" s="178">
        <f t="shared" si="8"/>
        <v>95.00659100672289</v>
      </c>
      <c r="K38" s="179">
        <f t="shared" si="9"/>
        <v>-36.36073355083572</v>
      </c>
      <c r="L38" s="180">
        <f>L39+L47</f>
        <v>-1757086086</v>
      </c>
    </row>
    <row r="39" spans="2:12" s="181" customFormat="1" ht="15">
      <c r="B39" s="182"/>
      <c r="C39" s="196" t="s">
        <v>23</v>
      </c>
      <c r="D39" s="197">
        <f>SUM(D40:D46)</f>
        <v>2916540508</v>
      </c>
      <c r="E39" s="197">
        <f>SUM(E40:E46)</f>
        <v>2545405591</v>
      </c>
      <c r="F39" s="176">
        <f t="shared" si="10"/>
        <v>87.27482385442664</v>
      </c>
      <c r="G39" s="177">
        <f t="shared" si="7"/>
        <v>371134917</v>
      </c>
      <c r="H39" s="515">
        <f>SUM(H40:H46)</f>
        <v>2542656000</v>
      </c>
      <c r="I39" s="515">
        <f>SUM(I40:I46)</f>
        <v>2374611800</v>
      </c>
      <c r="J39" s="178">
        <f t="shared" si="8"/>
        <v>93.39099744519118</v>
      </c>
      <c r="K39" s="179">
        <f t="shared" si="9"/>
        <v>7.192493147722083</v>
      </c>
      <c r="L39" s="201">
        <f>SUM(L40:L46)</f>
        <v>170793791</v>
      </c>
    </row>
    <row r="40" spans="2:12" ht="18" customHeight="1">
      <c r="B40" s="202"/>
      <c r="C40" s="203" t="s">
        <v>1208</v>
      </c>
      <c r="D40" s="204">
        <v>1941360508</v>
      </c>
      <c r="E40" s="204">
        <v>1682902591</v>
      </c>
      <c r="F40" s="187">
        <f t="shared" si="10"/>
        <v>86.68676343549068</v>
      </c>
      <c r="G40" s="177">
        <f t="shared" si="7"/>
        <v>258457917</v>
      </c>
      <c r="H40" s="204">
        <v>1840881000</v>
      </c>
      <c r="I40" s="204">
        <v>1730087386</v>
      </c>
      <c r="J40" s="188">
        <f t="shared" si="8"/>
        <v>93.9814896237182</v>
      </c>
      <c r="K40" s="179">
        <f t="shared" si="9"/>
        <v>-2.7273070355765254</v>
      </c>
      <c r="L40" s="189">
        <f>E40-I40</f>
        <v>-47184795</v>
      </c>
    </row>
    <row r="41" spans="2:12" ht="18" customHeight="1">
      <c r="B41" s="163"/>
      <c r="C41" s="203" t="s">
        <v>260</v>
      </c>
      <c r="D41" s="204">
        <v>903600000</v>
      </c>
      <c r="E41" s="204">
        <v>791358000</v>
      </c>
      <c r="F41" s="187">
        <f t="shared" si="10"/>
        <v>87.57835325365207</v>
      </c>
      <c r="G41" s="177">
        <f t="shared" si="7"/>
        <v>112242000</v>
      </c>
      <c r="H41" s="204">
        <v>672600000</v>
      </c>
      <c r="I41" s="204">
        <v>615784414</v>
      </c>
      <c r="J41" s="188">
        <f t="shared" si="8"/>
        <v>91.5528418079096</v>
      </c>
      <c r="K41" s="179">
        <f t="shared" si="9"/>
        <v>28.512184135923906</v>
      </c>
      <c r="L41" s="189">
        <f aca="true" t="shared" si="11" ref="L41:L81">E41-I41</f>
        <v>175573586</v>
      </c>
    </row>
    <row r="42" spans="2:12" ht="18" customHeight="1">
      <c r="B42" s="163"/>
      <c r="C42" s="203" t="s">
        <v>1688</v>
      </c>
      <c r="D42" s="204">
        <v>0</v>
      </c>
      <c r="E42" s="204">
        <v>0</v>
      </c>
      <c r="F42" s="187" t="e">
        <f>SUM(E42/D42)*100</f>
        <v>#DIV/0!</v>
      </c>
      <c r="G42" s="177">
        <f t="shared" si="7"/>
        <v>0</v>
      </c>
      <c r="H42" s="204">
        <v>0</v>
      </c>
      <c r="I42" s="204">
        <v>0</v>
      </c>
      <c r="J42" s="188" t="e">
        <f t="shared" si="8"/>
        <v>#DIV/0!</v>
      </c>
      <c r="K42" s="179" t="e">
        <f t="shared" si="9"/>
        <v>#DIV/0!</v>
      </c>
      <c r="L42" s="189">
        <f t="shared" si="11"/>
        <v>0</v>
      </c>
    </row>
    <row r="43" spans="2:12" ht="18" customHeight="1">
      <c r="B43" s="163"/>
      <c r="C43" s="203" t="s">
        <v>1689</v>
      </c>
      <c r="D43" s="204">
        <v>435000</v>
      </c>
      <c r="E43" s="204">
        <v>0</v>
      </c>
      <c r="F43" s="187">
        <f t="shared" si="10"/>
        <v>0</v>
      </c>
      <c r="G43" s="177">
        <f t="shared" si="7"/>
        <v>435000</v>
      </c>
      <c r="H43" s="204">
        <v>435000</v>
      </c>
      <c r="I43" s="204">
        <v>0</v>
      </c>
      <c r="J43" s="188">
        <f t="shared" si="8"/>
        <v>0</v>
      </c>
      <c r="K43" s="179" t="e">
        <f t="shared" si="9"/>
        <v>#DIV/0!</v>
      </c>
      <c r="L43" s="189">
        <f t="shared" si="11"/>
        <v>0</v>
      </c>
    </row>
    <row r="44" spans="2:12" ht="18" customHeight="1">
      <c r="B44" s="163"/>
      <c r="C44" s="203" t="s">
        <v>1209</v>
      </c>
      <c r="D44" s="204">
        <v>68145000</v>
      </c>
      <c r="E44" s="204">
        <v>68145000</v>
      </c>
      <c r="F44" s="187">
        <f t="shared" si="10"/>
        <v>100</v>
      </c>
      <c r="G44" s="177">
        <f t="shared" si="7"/>
        <v>0</v>
      </c>
      <c r="H44" s="204">
        <v>25740000</v>
      </c>
      <c r="I44" s="204">
        <v>25740000</v>
      </c>
      <c r="J44" s="188">
        <f t="shared" si="8"/>
        <v>100</v>
      </c>
      <c r="K44" s="179">
        <f t="shared" si="9"/>
        <v>164.74358974358972</v>
      </c>
      <c r="L44" s="189">
        <f t="shared" si="11"/>
        <v>42405000</v>
      </c>
    </row>
    <row r="45" spans="2:12" ht="18" customHeight="1">
      <c r="B45" s="163"/>
      <c r="C45" s="203" t="s">
        <v>261</v>
      </c>
      <c r="D45" s="204">
        <v>3000000</v>
      </c>
      <c r="E45" s="204">
        <v>3000000</v>
      </c>
      <c r="F45" s="187">
        <f t="shared" si="10"/>
        <v>100</v>
      </c>
      <c r="G45" s="177">
        <f t="shared" si="7"/>
        <v>0</v>
      </c>
      <c r="H45" s="204">
        <v>3000000</v>
      </c>
      <c r="I45" s="204">
        <v>3000000</v>
      </c>
      <c r="J45" s="188">
        <f t="shared" si="8"/>
        <v>100</v>
      </c>
      <c r="K45" s="179">
        <f t="shared" si="9"/>
        <v>0</v>
      </c>
      <c r="L45" s="189">
        <f t="shared" si="11"/>
        <v>0</v>
      </c>
    </row>
    <row r="46" spans="2:12" s="207" customFormat="1" ht="18" customHeight="1">
      <c r="B46" s="205"/>
      <c r="C46" s="206" t="s">
        <v>982</v>
      </c>
      <c r="D46" s="204">
        <v>0</v>
      </c>
      <c r="E46" s="204">
        <v>0</v>
      </c>
      <c r="F46" s="187" t="e">
        <f>SUM(E46/D46)*100</f>
        <v>#DIV/0!</v>
      </c>
      <c r="G46" s="177">
        <f t="shared" si="7"/>
        <v>0</v>
      </c>
      <c r="H46" s="517">
        <v>0</v>
      </c>
      <c r="I46" s="517">
        <v>0</v>
      </c>
      <c r="J46" s="188" t="e">
        <f>SUM(I46/H46)*100</f>
        <v>#DIV/0!</v>
      </c>
      <c r="K46" s="179" t="e">
        <f t="shared" si="9"/>
        <v>#DIV/0!</v>
      </c>
      <c r="L46" s="189">
        <f t="shared" si="11"/>
        <v>0</v>
      </c>
    </row>
    <row r="47" spans="2:14" s="181" customFormat="1" ht="15">
      <c r="B47" s="182"/>
      <c r="C47" s="196" t="s">
        <v>1729</v>
      </c>
      <c r="D47" s="208">
        <f>SUM(D48:D67)</f>
        <v>553994000</v>
      </c>
      <c r="E47" s="208">
        <f>SUM(E48:E67)</f>
        <v>529880815</v>
      </c>
      <c r="F47" s="176">
        <f t="shared" si="10"/>
        <v>95.64739239053131</v>
      </c>
      <c r="G47" s="177">
        <f t="shared" si="7"/>
        <v>24113185</v>
      </c>
      <c r="H47" s="518">
        <f>SUM(H48:H67)</f>
        <v>2543699000</v>
      </c>
      <c r="I47" s="518">
        <f>SUM(I48:I67)</f>
        <v>2457760692</v>
      </c>
      <c r="J47" s="178">
        <f t="shared" si="8"/>
        <v>96.62152212191772</v>
      </c>
      <c r="K47" s="179">
        <f t="shared" si="9"/>
        <v>-78.44050412537072</v>
      </c>
      <c r="L47" s="208">
        <f>SUM(L48:L67)</f>
        <v>-1927879877</v>
      </c>
      <c r="N47" s="611">
        <f>I47-4792189031</f>
        <v>-2334428339</v>
      </c>
    </row>
    <row r="48" spans="2:12" ht="15">
      <c r="B48" s="163"/>
      <c r="C48" s="209" t="s">
        <v>265</v>
      </c>
      <c r="D48" s="204">
        <v>21956500</v>
      </c>
      <c r="E48" s="204">
        <v>21586500</v>
      </c>
      <c r="F48" s="187">
        <f t="shared" si="10"/>
        <v>98.314849816683</v>
      </c>
      <c r="G48" s="177">
        <f t="shared" si="7"/>
        <v>370000</v>
      </c>
      <c r="H48" s="204">
        <v>19128000</v>
      </c>
      <c r="I48" s="204">
        <v>19127425</v>
      </c>
      <c r="J48" s="188">
        <f t="shared" si="8"/>
        <v>99.9969939355918</v>
      </c>
      <c r="K48" s="179">
        <f t="shared" si="9"/>
        <v>12.856278354247893</v>
      </c>
      <c r="L48" s="189">
        <f t="shared" si="11"/>
        <v>2459075</v>
      </c>
    </row>
    <row r="49" spans="2:12" ht="15">
      <c r="B49" s="163"/>
      <c r="C49" s="209" t="s">
        <v>262</v>
      </c>
      <c r="D49" s="204">
        <v>11500000</v>
      </c>
      <c r="E49" s="204">
        <v>11500000</v>
      </c>
      <c r="F49" s="187">
        <f t="shared" si="10"/>
        <v>100</v>
      </c>
      <c r="G49" s="177">
        <f t="shared" si="7"/>
        <v>0</v>
      </c>
      <c r="H49" s="204">
        <v>9000000</v>
      </c>
      <c r="I49" s="204">
        <v>9000000</v>
      </c>
      <c r="J49" s="188">
        <f t="shared" si="8"/>
        <v>100</v>
      </c>
      <c r="K49" s="179">
        <f t="shared" si="9"/>
        <v>27.77777777777778</v>
      </c>
      <c r="L49" s="189">
        <f t="shared" si="11"/>
        <v>2500000</v>
      </c>
    </row>
    <row r="50" spans="2:12" ht="15">
      <c r="B50" s="163"/>
      <c r="C50" s="209" t="s">
        <v>263</v>
      </c>
      <c r="D50" s="204">
        <v>192045000</v>
      </c>
      <c r="E50" s="204">
        <v>188006165</v>
      </c>
      <c r="F50" s="187">
        <f t="shared" si="10"/>
        <v>97.89693301049233</v>
      </c>
      <c r="G50" s="177">
        <f t="shared" si="7"/>
        <v>4038835</v>
      </c>
      <c r="H50" s="204">
        <v>174220000</v>
      </c>
      <c r="I50" s="204">
        <v>173145042</v>
      </c>
      <c r="J50" s="188">
        <f t="shared" si="8"/>
        <v>99.38298817586958</v>
      </c>
      <c r="K50" s="179">
        <f t="shared" si="9"/>
        <v>8.583048540309921</v>
      </c>
      <c r="L50" s="189">
        <f t="shared" si="11"/>
        <v>14861123</v>
      </c>
    </row>
    <row r="51" spans="2:12" ht="15">
      <c r="B51" s="163"/>
      <c r="C51" s="209" t="s">
        <v>264</v>
      </c>
      <c r="D51" s="204">
        <v>26519000</v>
      </c>
      <c r="E51" s="204">
        <v>25909650</v>
      </c>
      <c r="F51" s="187">
        <f t="shared" si="10"/>
        <v>97.70221350729665</v>
      </c>
      <c r="G51" s="177">
        <f t="shared" si="7"/>
        <v>609350</v>
      </c>
      <c r="H51" s="204">
        <v>26519000</v>
      </c>
      <c r="I51" s="204">
        <v>26517000</v>
      </c>
      <c r="J51" s="188">
        <f t="shared" si="8"/>
        <v>99.9924582374901</v>
      </c>
      <c r="K51" s="179">
        <f t="shared" si="9"/>
        <v>-2.290417468039371</v>
      </c>
      <c r="L51" s="189">
        <f t="shared" si="11"/>
        <v>-607350</v>
      </c>
    </row>
    <row r="52" spans="2:12" ht="15">
      <c r="B52" s="163"/>
      <c r="C52" s="209" t="s">
        <v>266</v>
      </c>
      <c r="D52" s="204">
        <v>12305000</v>
      </c>
      <c r="E52" s="204">
        <v>12305000</v>
      </c>
      <c r="F52" s="187">
        <f t="shared" si="10"/>
        <v>100</v>
      </c>
      <c r="G52" s="177">
        <f t="shared" si="7"/>
        <v>0</v>
      </c>
      <c r="H52" s="204">
        <v>7642000</v>
      </c>
      <c r="I52" s="204">
        <v>7641225</v>
      </c>
      <c r="J52" s="188">
        <f t="shared" si="8"/>
        <v>99.98985867573934</v>
      </c>
      <c r="K52" s="179">
        <f t="shared" si="9"/>
        <v>61.034389119545615</v>
      </c>
      <c r="L52" s="189">
        <f t="shared" si="11"/>
        <v>4663775</v>
      </c>
    </row>
    <row r="53" spans="2:12" ht="15">
      <c r="B53" s="163"/>
      <c r="C53" s="209" t="s">
        <v>267</v>
      </c>
      <c r="D53" s="204">
        <v>1000000</v>
      </c>
      <c r="E53" s="204">
        <v>1000000</v>
      </c>
      <c r="F53" s="187">
        <f t="shared" si="10"/>
        <v>100</v>
      </c>
      <c r="G53" s="177">
        <f t="shared" si="7"/>
        <v>0</v>
      </c>
      <c r="H53" s="204">
        <v>0</v>
      </c>
      <c r="I53" s="204">
        <v>0</v>
      </c>
      <c r="J53" s="188" t="e">
        <f t="shared" si="8"/>
        <v>#DIV/0!</v>
      </c>
      <c r="K53" s="179" t="e">
        <f t="shared" si="9"/>
        <v>#DIV/0!</v>
      </c>
      <c r="L53" s="189">
        <f t="shared" si="11"/>
        <v>1000000</v>
      </c>
    </row>
    <row r="54" spans="2:12" ht="15">
      <c r="B54" s="163"/>
      <c r="C54" s="209" t="s">
        <v>268</v>
      </c>
      <c r="D54" s="204">
        <v>5250000</v>
      </c>
      <c r="E54" s="204">
        <v>5250000</v>
      </c>
      <c r="F54" s="187">
        <v>0</v>
      </c>
      <c r="G54" s="177">
        <f t="shared" si="7"/>
        <v>0</v>
      </c>
      <c r="H54" s="204">
        <v>5500000</v>
      </c>
      <c r="I54" s="204">
        <v>5500000</v>
      </c>
      <c r="J54" s="188">
        <f t="shared" si="8"/>
        <v>100</v>
      </c>
      <c r="K54" s="179">
        <f t="shared" si="9"/>
        <v>-4.545454545454546</v>
      </c>
      <c r="L54" s="189">
        <f t="shared" si="11"/>
        <v>-250000</v>
      </c>
    </row>
    <row r="55" spans="2:12" ht="15">
      <c r="B55" s="163"/>
      <c r="C55" s="209" t="s">
        <v>269</v>
      </c>
      <c r="D55" s="204">
        <v>5000000</v>
      </c>
      <c r="E55" s="204">
        <v>5000000</v>
      </c>
      <c r="F55" s="187">
        <f t="shared" si="10"/>
        <v>100</v>
      </c>
      <c r="G55" s="177">
        <f t="shared" si="7"/>
        <v>0</v>
      </c>
      <c r="H55" s="204">
        <v>2000000</v>
      </c>
      <c r="I55" s="204">
        <v>2000000</v>
      </c>
      <c r="J55" s="188">
        <f t="shared" si="8"/>
        <v>100</v>
      </c>
      <c r="K55" s="179">
        <f t="shared" si="9"/>
        <v>150</v>
      </c>
      <c r="L55" s="189">
        <f t="shared" si="11"/>
        <v>3000000</v>
      </c>
    </row>
    <row r="56" spans="2:12" ht="15">
      <c r="B56" s="163"/>
      <c r="C56" s="209" t="s">
        <v>270</v>
      </c>
      <c r="D56" s="204">
        <v>122050000</v>
      </c>
      <c r="E56" s="204">
        <v>103600000</v>
      </c>
      <c r="F56" s="187">
        <f t="shared" si="10"/>
        <v>84.88324457189677</v>
      </c>
      <c r="G56" s="177">
        <f t="shared" si="7"/>
        <v>18450000</v>
      </c>
      <c r="H56" s="204">
        <v>53580000</v>
      </c>
      <c r="I56" s="204">
        <v>53580000</v>
      </c>
      <c r="J56" s="188">
        <f t="shared" si="8"/>
        <v>100</v>
      </c>
      <c r="K56" s="179">
        <f t="shared" si="9"/>
        <v>93.35572974990669</v>
      </c>
      <c r="L56" s="189">
        <f t="shared" si="11"/>
        <v>50020000</v>
      </c>
    </row>
    <row r="57" spans="2:12" ht="15">
      <c r="B57" s="163"/>
      <c r="C57" s="209" t="s">
        <v>271</v>
      </c>
      <c r="D57" s="204">
        <v>25550000</v>
      </c>
      <c r="E57" s="204">
        <v>25550000</v>
      </c>
      <c r="F57" s="187">
        <f t="shared" si="10"/>
        <v>100</v>
      </c>
      <c r="G57" s="177">
        <f t="shared" si="7"/>
        <v>0</v>
      </c>
      <c r="H57" s="204">
        <v>15750000</v>
      </c>
      <c r="I57" s="204">
        <v>15750000</v>
      </c>
      <c r="J57" s="188">
        <f t="shared" si="8"/>
        <v>100</v>
      </c>
      <c r="K57" s="179">
        <f t="shared" si="9"/>
        <v>62.22222222222222</v>
      </c>
      <c r="L57" s="189">
        <f t="shared" si="11"/>
        <v>9800000</v>
      </c>
    </row>
    <row r="58" spans="2:12" ht="15">
      <c r="B58" s="163"/>
      <c r="C58" s="209" t="s">
        <v>272</v>
      </c>
      <c r="D58" s="204">
        <v>21660000</v>
      </c>
      <c r="E58" s="204">
        <v>21660000</v>
      </c>
      <c r="F58" s="187">
        <f t="shared" si="10"/>
        <v>100</v>
      </c>
      <c r="G58" s="177">
        <f t="shared" si="7"/>
        <v>0</v>
      </c>
      <c r="H58" s="204">
        <v>6860000</v>
      </c>
      <c r="I58" s="204">
        <v>6860000</v>
      </c>
      <c r="J58" s="188">
        <f t="shared" si="8"/>
        <v>100</v>
      </c>
      <c r="K58" s="179">
        <f t="shared" si="9"/>
        <v>215.74344023323616</v>
      </c>
      <c r="L58" s="189">
        <f t="shared" si="11"/>
        <v>14800000</v>
      </c>
    </row>
    <row r="59" spans="2:12" ht="15">
      <c r="B59" s="163"/>
      <c r="C59" s="209" t="s">
        <v>21</v>
      </c>
      <c r="D59" s="204">
        <v>0</v>
      </c>
      <c r="E59" s="204">
        <v>0</v>
      </c>
      <c r="F59" s="187" t="e">
        <f t="shared" si="10"/>
        <v>#DIV/0!</v>
      </c>
      <c r="G59" s="177">
        <f t="shared" si="7"/>
        <v>0</v>
      </c>
      <c r="H59" s="519">
        <v>0</v>
      </c>
      <c r="I59" s="519">
        <v>0</v>
      </c>
      <c r="J59" s="188" t="e">
        <f t="shared" si="8"/>
        <v>#DIV/0!</v>
      </c>
      <c r="K59" s="179" t="e">
        <f t="shared" si="9"/>
        <v>#DIV/0!</v>
      </c>
      <c r="L59" s="189">
        <f t="shared" si="11"/>
        <v>0</v>
      </c>
    </row>
    <row r="60" spans="2:12" ht="15">
      <c r="B60" s="163"/>
      <c r="C60" s="209" t="s">
        <v>273</v>
      </c>
      <c r="D60" s="204">
        <v>101408500</v>
      </c>
      <c r="E60" s="204">
        <v>100763500</v>
      </c>
      <c r="F60" s="187">
        <f t="shared" si="10"/>
        <v>99.3639586425201</v>
      </c>
      <c r="G60" s="177">
        <f t="shared" si="7"/>
        <v>645000</v>
      </c>
      <c r="H60" s="519">
        <v>2223500000</v>
      </c>
      <c r="I60" s="519">
        <v>2138640000</v>
      </c>
      <c r="J60" s="188">
        <f t="shared" si="8"/>
        <v>96.18349449066787</v>
      </c>
      <c r="K60" s="179">
        <f t="shared" si="9"/>
        <v>-95.28843096547338</v>
      </c>
      <c r="L60" s="189">
        <f t="shared" si="11"/>
        <v>-2037876500</v>
      </c>
    </row>
    <row r="61" spans="2:12" ht="15">
      <c r="B61" s="163"/>
      <c r="C61" s="209" t="s">
        <v>274</v>
      </c>
      <c r="D61" s="204">
        <v>0</v>
      </c>
      <c r="E61" s="204">
        <v>0</v>
      </c>
      <c r="F61" s="187" t="e">
        <f t="shared" si="10"/>
        <v>#DIV/0!</v>
      </c>
      <c r="G61" s="177">
        <f t="shared" si="7"/>
        <v>0</v>
      </c>
      <c r="H61" s="519">
        <v>0</v>
      </c>
      <c r="I61" s="519">
        <v>0</v>
      </c>
      <c r="J61" s="188" t="e">
        <f t="shared" si="8"/>
        <v>#DIV/0!</v>
      </c>
      <c r="K61" s="179" t="e">
        <f t="shared" si="9"/>
        <v>#DIV/0!</v>
      </c>
      <c r="L61" s="189">
        <f t="shared" si="11"/>
        <v>0</v>
      </c>
    </row>
    <row r="62" spans="2:12" ht="15">
      <c r="B62" s="163"/>
      <c r="C62" s="209" t="s">
        <v>275</v>
      </c>
      <c r="D62" s="204">
        <v>0</v>
      </c>
      <c r="E62" s="204">
        <v>0</v>
      </c>
      <c r="F62" s="187" t="e">
        <f t="shared" si="10"/>
        <v>#DIV/0!</v>
      </c>
      <c r="G62" s="177">
        <f t="shared" si="7"/>
        <v>0</v>
      </c>
      <c r="H62" s="519">
        <v>0</v>
      </c>
      <c r="I62" s="519">
        <v>0</v>
      </c>
      <c r="J62" s="188" t="e">
        <f t="shared" si="8"/>
        <v>#DIV/0!</v>
      </c>
      <c r="K62" s="179" t="e">
        <f t="shared" si="9"/>
        <v>#DIV/0!</v>
      </c>
      <c r="L62" s="189">
        <f t="shared" si="11"/>
        <v>0</v>
      </c>
    </row>
    <row r="63" spans="2:12" ht="15">
      <c r="B63" s="163"/>
      <c r="C63" s="209" t="s">
        <v>276</v>
      </c>
      <c r="D63" s="204">
        <v>0</v>
      </c>
      <c r="E63" s="204">
        <v>0</v>
      </c>
      <c r="F63" s="187" t="e">
        <f t="shared" si="10"/>
        <v>#DIV/0!</v>
      </c>
      <c r="G63" s="177">
        <f t="shared" si="7"/>
        <v>0</v>
      </c>
      <c r="H63" s="519">
        <v>0</v>
      </c>
      <c r="I63" s="519">
        <v>0</v>
      </c>
      <c r="J63" s="188" t="e">
        <f t="shared" si="8"/>
        <v>#DIV/0!</v>
      </c>
      <c r="K63" s="179" t="e">
        <f t="shared" si="9"/>
        <v>#DIV/0!</v>
      </c>
      <c r="L63" s="189">
        <f t="shared" si="11"/>
        <v>0</v>
      </c>
    </row>
    <row r="64" spans="2:12" ht="15">
      <c r="B64" s="163"/>
      <c r="C64" s="209" t="s">
        <v>277</v>
      </c>
      <c r="D64" s="204">
        <v>0</v>
      </c>
      <c r="E64" s="204">
        <v>0</v>
      </c>
      <c r="F64" s="187" t="e">
        <f t="shared" si="10"/>
        <v>#DIV/0!</v>
      </c>
      <c r="G64" s="177">
        <f t="shared" si="7"/>
        <v>0</v>
      </c>
      <c r="H64" s="204">
        <v>0</v>
      </c>
      <c r="I64" s="204">
        <v>0</v>
      </c>
      <c r="J64" s="188" t="e">
        <f t="shared" si="8"/>
        <v>#DIV/0!</v>
      </c>
      <c r="K64" s="179" t="e">
        <f t="shared" si="9"/>
        <v>#DIV/0!</v>
      </c>
      <c r="L64" s="189">
        <f t="shared" si="11"/>
        <v>0</v>
      </c>
    </row>
    <row r="65" spans="2:12" ht="15">
      <c r="B65" s="163"/>
      <c r="C65" s="209" t="s">
        <v>278</v>
      </c>
      <c r="D65" s="204">
        <v>0</v>
      </c>
      <c r="E65" s="204">
        <v>0</v>
      </c>
      <c r="F65" s="187" t="e">
        <f t="shared" si="10"/>
        <v>#DIV/0!</v>
      </c>
      <c r="G65" s="177">
        <f t="shared" si="7"/>
        <v>0</v>
      </c>
      <c r="H65" s="204">
        <v>0</v>
      </c>
      <c r="I65" s="204">
        <v>0</v>
      </c>
      <c r="J65" s="188" t="e">
        <f t="shared" si="8"/>
        <v>#DIV/0!</v>
      </c>
      <c r="K65" s="179" t="e">
        <f t="shared" si="9"/>
        <v>#DIV/0!</v>
      </c>
      <c r="L65" s="189">
        <f t="shared" si="11"/>
        <v>0</v>
      </c>
    </row>
    <row r="66" spans="2:12" ht="15">
      <c r="B66" s="163"/>
      <c r="C66" s="209" t="s">
        <v>279</v>
      </c>
      <c r="D66" s="204">
        <v>7750000</v>
      </c>
      <c r="E66" s="204">
        <v>7750000</v>
      </c>
      <c r="F66" s="187">
        <f t="shared" si="10"/>
        <v>100</v>
      </c>
      <c r="G66" s="177">
        <f t="shared" si="7"/>
        <v>0</v>
      </c>
      <c r="H66" s="204">
        <v>0</v>
      </c>
      <c r="I66" s="204">
        <v>0</v>
      </c>
      <c r="J66" s="188" t="e">
        <f t="shared" si="8"/>
        <v>#DIV/0!</v>
      </c>
      <c r="K66" s="179" t="e">
        <f t="shared" si="9"/>
        <v>#DIV/0!</v>
      </c>
      <c r="L66" s="189">
        <f t="shared" si="11"/>
        <v>7750000</v>
      </c>
    </row>
    <row r="67" spans="2:12" ht="15">
      <c r="B67" s="163"/>
      <c r="C67" s="209" t="s">
        <v>280</v>
      </c>
      <c r="D67" s="204">
        <v>0</v>
      </c>
      <c r="E67" s="186">
        <v>0</v>
      </c>
      <c r="F67" s="187" t="e">
        <f t="shared" si="10"/>
        <v>#DIV/0!</v>
      </c>
      <c r="G67" s="177">
        <f t="shared" si="7"/>
        <v>0</v>
      </c>
      <c r="H67" s="204">
        <v>0</v>
      </c>
      <c r="I67" s="204">
        <v>0</v>
      </c>
      <c r="J67" s="188" t="e">
        <f t="shared" si="8"/>
        <v>#DIV/0!</v>
      </c>
      <c r="K67" s="179" t="e">
        <f t="shared" si="9"/>
        <v>#DIV/0!</v>
      </c>
      <c r="L67" s="235">
        <f t="shared" si="11"/>
        <v>0</v>
      </c>
    </row>
    <row r="68" spans="2:12" s="181" customFormat="1" ht="15">
      <c r="B68" s="198"/>
      <c r="C68" s="199" t="s">
        <v>44</v>
      </c>
      <c r="D68" s="197">
        <f>D69+D72+D82+D87+D91+D95</f>
        <v>6301500000</v>
      </c>
      <c r="E68" s="197">
        <f>E69+E72+E82+E87+E91+E95</f>
        <v>6256955760</v>
      </c>
      <c r="F68" s="176">
        <f t="shared" si="10"/>
        <v>99.29311687693406</v>
      </c>
      <c r="G68" s="177">
        <f t="shared" si="7"/>
        <v>44544240</v>
      </c>
      <c r="H68" s="515">
        <f>H69+H72+H82+H87+H91+H95</f>
        <v>2476500000</v>
      </c>
      <c r="I68" s="515">
        <f>I69+I72+I82+I87+I91+I95</f>
        <v>2465841000</v>
      </c>
      <c r="J68" s="178">
        <f t="shared" si="8"/>
        <v>99.56959418534221</v>
      </c>
      <c r="K68" s="179">
        <f t="shared" si="9"/>
        <v>153.74530474592646</v>
      </c>
      <c r="L68" s="180">
        <f t="shared" si="11"/>
        <v>3791114760</v>
      </c>
    </row>
    <row r="69" spans="2:12" s="181" customFormat="1" ht="15">
      <c r="B69" s="210" t="s">
        <v>1617</v>
      </c>
      <c r="C69" s="210" t="s">
        <v>286</v>
      </c>
      <c r="D69" s="197">
        <f>SUM(D70:D71)</f>
        <v>0</v>
      </c>
      <c r="E69" s="197">
        <f>SUM(E70:E71)</f>
        <v>0</v>
      </c>
      <c r="F69" s="211" t="e">
        <f t="shared" si="10"/>
        <v>#DIV/0!</v>
      </c>
      <c r="G69" s="177">
        <f t="shared" si="7"/>
        <v>0</v>
      </c>
      <c r="H69" s="515">
        <f>SUM(H70:H71)</f>
        <v>0</v>
      </c>
      <c r="I69" s="515">
        <f>SUM(I70:I71)</f>
        <v>0</v>
      </c>
      <c r="J69" s="178" t="e">
        <f t="shared" si="8"/>
        <v>#DIV/0!</v>
      </c>
      <c r="K69" s="179" t="e">
        <f t="shared" si="9"/>
        <v>#DIV/0!</v>
      </c>
      <c r="L69" s="180">
        <f t="shared" si="11"/>
        <v>0</v>
      </c>
    </row>
    <row r="70" spans="2:12" ht="19.5" customHeight="1">
      <c r="B70" s="163"/>
      <c r="C70" s="212" t="s">
        <v>1522</v>
      </c>
      <c r="D70" s="204">
        <v>0</v>
      </c>
      <c r="E70" s="204">
        <v>0</v>
      </c>
      <c r="F70" s="187" t="e">
        <f t="shared" si="10"/>
        <v>#DIV/0!</v>
      </c>
      <c r="G70" s="177">
        <f t="shared" si="7"/>
        <v>0</v>
      </c>
      <c r="H70" s="520">
        <v>0</v>
      </c>
      <c r="I70" s="520">
        <v>0</v>
      </c>
      <c r="J70" s="188" t="e">
        <f t="shared" si="8"/>
        <v>#DIV/0!</v>
      </c>
      <c r="K70" s="179" t="e">
        <f t="shared" si="9"/>
        <v>#DIV/0!</v>
      </c>
      <c r="L70" s="180">
        <f t="shared" si="11"/>
        <v>0</v>
      </c>
    </row>
    <row r="71" spans="2:12" ht="19.5" customHeight="1">
      <c r="B71" s="190"/>
      <c r="C71" s="212" t="s">
        <v>1521</v>
      </c>
      <c r="D71" s="213">
        <v>0</v>
      </c>
      <c r="E71" s="213">
        <v>0</v>
      </c>
      <c r="F71" s="187" t="e">
        <f>SUM(E71/D71)*100</f>
        <v>#DIV/0!</v>
      </c>
      <c r="G71" s="177">
        <f t="shared" si="7"/>
        <v>0</v>
      </c>
      <c r="H71" s="520">
        <v>0</v>
      </c>
      <c r="I71" s="520">
        <v>0</v>
      </c>
      <c r="J71" s="188" t="e">
        <f>SUM(I71/H71)*100</f>
        <v>#DIV/0!</v>
      </c>
      <c r="K71" s="179" t="e">
        <f t="shared" si="9"/>
        <v>#DIV/0!</v>
      </c>
      <c r="L71" s="180">
        <f t="shared" si="11"/>
        <v>0</v>
      </c>
    </row>
    <row r="72" spans="2:12" s="181" customFormat="1" ht="19.5" customHeight="1">
      <c r="B72" s="214" t="s">
        <v>1618</v>
      </c>
      <c r="C72" s="214" t="s">
        <v>285</v>
      </c>
      <c r="D72" s="215">
        <f>D73+D74+D75+D76+D77+D78+D79+D80+D81</f>
        <v>200000000</v>
      </c>
      <c r="E72" s="215">
        <f>E73+E74+E75+E76+E77+E78+E79+E80+E81</f>
        <v>190286160</v>
      </c>
      <c r="F72" s="187">
        <f t="shared" si="10"/>
        <v>95.14308</v>
      </c>
      <c r="G72" s="215">
        <f>G73+G74+G75+G76+G77+G78+G79+G80+G81</f>
        <v>9713840</v>
      </c>
      <c r="H72" s="521">
        <f>H73+H74+H75+H76+H77+H78+H79+H80+H81</f>
        <v>0</v>
      </c>
      <c r="I72" s="521">
        <f>I73+I74+I75+I76+I77+I78+I79+I80+I81</f>
        <v>0</v>
      </c>
      <c r="J72" s="178" t="e">
        <f t="shared" si="8"/>
        <v>#DIV/0!</v>
      </c>
      <c r="K72" s="179" t="e">
        <f t="shared" si="9"/>
        <v>#DIV/0!</v>
      </c>
      <c r="L72" s="180">
        <f t="shared" si="11"/>
        <v>190286160</v>
      </c>
    </row>
    <row r="73" spans="2:12" s="220" customFormat="1" ht="19.5" customHeight="1">
      <c r="B73" s="214"/>
      <c r="C73" s="216" t="s">
        <v>1515</v>
      </c>
      <c r="D73" s="204">
        <v>0</v>
      </c>
      <c r="E73" s="204">
        <v>0</v>
      </c>
      <c r="F73" s="218" t="e">
        <f>SUM(E73/D73)*100</f>
        <v>#DIV/0!</v>
      </c>
      <c r="G73" s="177">
        <f t="shared" si="7"/>
        <v>0</v>
      </c>
      <c r="H73" s="524">
        <v>0</v>
      </c>
      <c r="I73" s="524">
        <v>0</v>
      </c>
      <c r="J73" s="219" t="e">
        <f>SUM(I73/H73)*100</f>
        <v>#DIV/0!</v>
      </c>
      <c r="K73" s="179" t="e">
        <f t="shared" si="9"/>
        <v>#DIV/0!</v>
      </c>
      <c r="L73" s="180">
        <f t="shared" si="11"/>
        <v>0</v>
      </c>
    </row>
    <row r="74" spans="2:12" s="220" customFormat="1" ht="19.5" customHeight="1">
      <c r="B74" s="214"/>
      <c r="C74" s="216" t="s">
        <v>236</v>
      </c>
      <c r="D74" s="233">
        <v>0</v>
      </c>
      <c r="E74" s="233">
        <v>0</v>
      </c>
      <c r="F74" s="218" t="e">
        <f>SUM(E74/D74)*100</f>
        <v>#DIV/0!</v>
      </c>
      <c r="G74" s="177">
        <f t="shared" si="7"/>
        <v>0</v>
      </c>
      <c r="H74" s="524">
        <v>0</v>
      </c>
      <c r="I74" s="524">
        <v>0</v>
      </c>
      <c r="J74" s="219" t="e">
        <f>SUM(I74/H74)*100</f>
        <v>#DIV/0!</v>
      </c>
      <c r="K74" s="179" t="e">
        <f t="shared" si="9"/>
        <v>#DIV/0!</v>
      </c>
      <c r="L74" s="180">
        <f t="shared" si="11"/>
        <v>0</v>
      </c>
    </row>
    <row r="75" spans="2:12" s="151" customFormat="1" ht="19.5" customHeight="1">
      <c r="B75" s="221"/>
      <c r="C75" s="216" t="s">
        <v>233</v>
      </c>
      <c r="D75" s="233">
        <v>31755000</v>
      </c>
      <c r="E75" s="233">
        <v>31709000</v>
      </c>
      <c r="F75" s="218">
        <f>SUM(E75/D75)*100</f>
        <v>99.85514092268934</v>
      </c>
      <c r="G75" s="177">
        <f t="shared" si="7"/>
        <v>46000</v>
      </c>
      <c r="H75" s="204">
        <v>0</v>
      </c>
      <c r="I75" s="204">
        <v>0</v>
      </c>
      <c r="J75" s="255" t="e">
        <f t="shared" si="8"/>
        <v>#DIV/0!</v>
      </c>
      <c r="K75" s="179" t="e">
        <f t="shared" si="9"/>
        <v>#DIV/0!</v>
      </c>
      <c r="L75" s="180">
        <f t="shared" si="11"/>
        <v>31709000</v>
      </c>
    </row>
    <row r="76" spans="2:12" s="151" customFormat="1" ht="19.5" customHeight="1">
      <c r="B76" s="221"/>
      <c r="C76" s="216" t="s">
        <v>234</v>
      </c>
      <c r="D76" s="233">
        <v>61829000</v>
      </c>
      <c r="E76" s="233">
        <v>61308000</v>
      </c>
      <c r="F76" s="218">
        <f t="shared" si="10"/>
        <v>99.15735334551748</v>
      </c>
      <c r="G76" s="177">
        <f t="shared" si="7"/>
        <v>521000</v>
      </c>
      <c r="H76" s="204">
        <v>0</v>
      </c>
      <c r="I76" s="204">
        <v>0</v>
      </c>
      <c r="J76" s="219" t="e">
        <f t="shared" si="8"/>
        <v>#DIV/0!</v>
      </c>
      <c r="K76" s="179" t="e">
        <f t="shared" si="9"/>
        <v>#DIV/0!</v>
      </c>
      <c r="L76" s="180">
        <f t="shared" si="11"/>
        <v>61308000</v>
      </c>
    </row>
    <row r="77" spans="2:12" s="151" customFormat="1" ht="19.5" customHeight="1">
      <c r="B77" s="221"/>
      <c r="C77" s="223" t="s">
        <v>235</v>
      </c>
      <c r="D77" s="233">
        <v>82819000</v>
      </c>
      <c r="E77" s="233">
        <v>80839160</v>
      </c>
      <c r="F77" s="218">
        <f t="shared" si="10"/>
        <v>97.60943744792861</v>
      </c>
      <c r="G77" s="177">
        <f t="shared" si="7"/>
        <v>1979840</v>
      </c>
      <c r="H77" s="204">
        <v>0</v>
      </c>
      <c r="I77" s="204">
        <v>0</v>
      </c>
      <c r="J77" s="219" t="e">
        <f t="shared" si="8"/>
        <v>#DIV/0!</v>
      </c>
      <c r="K77" s="179" t="e">
        <f t="shared" si="9"/>
        <v>#DIV/0!</v>
      </c>
      <c r="L77" s="180">
        <f t="shared" si="11"/>
        <v>80839160</v>
      </c>
    </row>
    <row r="78" spans="2:12" s="151" customFormat="1" ht="19.5" customHeight="1">
      <c r="B78" s="221"/>
      <c r="C78" s="223" t="s">
        <v>1516</v>
      </c>
      <c r="D78" s="233">
        <v>23597000</v>
      </c>
      <c r="E78" s="233">
        <v>16430000</v>
      </c>
      <c r="F78" s="218">
        <f t="shared" si="10"/>
        <v>69.62749502055347</v>
      </c>
      <c r="G78" s="177">
        <f t="shared" si="7"/>
        <v>7167000</v>
      </c>
      <c r="H78" s="204">
        <v>0</v>
      </c>
      <c r="I78" s="204">
        <v>0</v>
      </c>
      <c r="J78" s="219" t="e">
        <f t="shared" si="8"/>
        <v>#DIV/0!</v>
      </c>
      <c r="K78" s="179" t="e">
        <f t="shared" si="9"/>
        <v>#DIV/0!</v>
      </c>
      <c r="L78" s="180">
        <f t="shared" si="11"/>
        <v>16430000</v>
      </c>
    </row>
    <row r="79" spans="2:12" s="151" customFormat="1" ht="19.5" customHeight="1">
      <c r="B79" s="221"/>
      <c r="C79" s="223" t="s">
        <v>1517</v>
      </c>
      <c r="D79" s="233">
        <v>0</v>
      </c>
      <c r="E79" s="233">
        <v>0</v>
      </c>
      <c r="F79" s="218" t="e">
        <f>SUM(E79/D79)*100</f>
        <v>#DIV/0!</v>
      </c>
      <c r="G79" s="177">
        <f t="shared" si="7"/>
        <v>0</v>
      </c>
      <c r="H79" s="204">
        <v>0</v>
      </c>
      <c r="I79" s="204">
        <v>0</v>
      </c>
      <c r="J79" s="219" t="e">
        <f>SUM(I79/H79)*100</f>
        <v>#DIV/0!</v>
      </c>
      <c r="K79" s="179" t="e">
        <f t="shared" si="9"/>
        <v>#DIV/0!</v>
      </c>
      <c r="L79" s="180">
        <f t="shared" si="11"/>
        <v>0</v>
      </c>
    </row>
    <row r="80" spans="2:12" s="151" customFormat="1" ht="19.5" customHeight="1">
      <c r="B80" s="221"/>
      <c r="C80" s="223" t="s">
        <v>1433</v>
      </c>
      <c r="D80" s="233">
        <v>0</v>
      </c>
      <c r="E80" s="233">
        <v>0</v>
      </c>
      <c r="F80" s="218" t="e">
        <f>SUM(E80/D80)*100</f>
        <v>#DIV/0!</v>
      </c>
      <c r="G80" s="177">
        <f t="shared" si="7"/>
        <v>0</v>
      </c>
      <c r="H80" s="524">
        <v>0</v>
      </c>
      <c r="I80" s="524">
        <v>0</v>
      </c>
      <c r="J80" s="219" t="e">
        <f>SUM(I80/H80)*100</f>
        <v>#DIV/0!</v>
      </c>
      <c r="K80" s="179" t="e">
        <f t="shared" si="9"/>
        <v>#DIV/0!</v>
      </c>
      <c r="L80" s="180">
        <f t="shared" si="11"/>
        <v>0</v>
      </c>
    </row>
    <row r="81" spans="2:12" s="151" customFormat="1" ht="19.5" customHeight="1">
      <c r="B81" s="221"/>
      <c r="C81" s="223" t="s">
        <v>1518</v>
      </c>
      <c r="D81" s="233">
        <v>0</v>
      </c>
      <c r="E81" s="233">
        <v>0</v>
      </c>
      <c r="F81" s="218" t="e">
        <f>SUM(E81/D81)*100</f>
        <v>#DIV/0!</v>
      </c>
      <c r="G81" s="177">
        <f t="shared" si="7"/>
        <v>0</v>
      </c>
      <c r="H81" s="524">
        <v>0</v>
      </c>
      <c r="I81" s="524">
        <v>0</v>
      </c>
      <c r="J81" s="219" t="e">
        <f>SUM(I81/H81)*100</f>
        <v>#DIV/0!</v>
      </c>
      <c r="K81" s="179" t="e">
        <f t="shared" si="9"/>
        <v>#DIV/0!</v>
      </c>
      <c r="L81" s="180">
        <f t="shared" si="11"/>
        <v>0</v>
      </c>
    </row>
    <row r="82" spans="2:12" s="181" customFormat="1" ht="19.5" customHeight="1">
      <c r="B82" s="214" t="s">
        <v>1620</v>
      </c>
      <c r="C82" s="214" t="s">
        <v>1619</v>
      </c>
      <c r="D82" s="215">
        <f>D83+D84+D85</f>
        <v>0</v>
      </c>
      <c r="E82" s="215">
        <f>E83+E84+E85</f>
        <v>0</v>
      </c>
      <c r="F82" s="187" t="e">
        <f t="shared" si="10"/>
        <v>#DIV/0!</v>
      </c>
      <c r="G82" s="177">
        <f aca="true" t="shared" si="12" ref="G82:G95">D82-E82</f>
        <v>0</v>
      </c>
      <c r="H82" s="521">
        <f>H83+H84+H85</f>
        <v>194000000</v>
      </c>
      <c r="I82" s="521">
        <f>I83+I84+I85</f>
        <v>192400000</v>
      </c>
      <c r="J82" s="178">
        <f t="shared" si="8"/>
        <v>99.17525773195877</v>
      </c>
      <c r="K82" s="179">
        <f aca="true" t="shared" si="13" ref="K82:K115">(E82-I82)/I82*100</f>
        <v>-100</v>
      </c>
      <c r="L82" s="215">
        <f>L83+L84+L85</f>
        <v>-192400000</v>
      </c>
    </row>
    <row r="83" spans="2:12" s="151" customFormat="1" ht="19.5" customHeight="1">
      <c r="B83" s="221"/>
      <c r="C83" s="224" t="s">
        <v>573</v>
      </c>
      <c r="D83" s="233">
        <v>0</v>
      </c>
      <c r="E83" s="233">
        <v>0</v>
      </c>
      <c r="F83" s="187" t="e">
        <f t="shared" si="10"/>
        <v>#DIV/0!</v>
      </c>
      <c r="G83" s="177">
        <f t="shared" si="12"/>
        <v>0</v>
      </c>
      <c r="H83" s="204">
        <v>194000000</v>
      </c>
      <c r="I83" s="204">
        <v>192400000</v>
      </c>
      <c r="J83" s="219">
        <f t="shared" si="8"/>
        <v>99.17525773195877</v>
      </c>
      <c r="K83" s="179">
        <f t="shared" si="13"/>
        <v>-100</v>
      </c>
      <c r="L83" s="235">
        <f>E83-I83</f>
        <v>-192400000</v>
      </c>
    </row>
    <row r="84" spans="2:12" ht="19.5" customHeight="1">
      <c r="B84" s="163"/>
      <c r="C84" s="224" t="s">
        <v>578</v>
      </c>
      <c r="D84" s="213">
        <v>0</v>
      </c>
      <c r="E84" s="213">
        <v>0</v>
      </c>
      <c r="F84" s="187" t="e">
        <f>SUM(E84/D84)*100</f>
        <v>#DIV/0!</v>
      </c>
      <c r="G84" s="177">
        <f t="shared" si="12"/>
        <v>0</v>
      </c>
      <c r="H84" s="520">
        <v>0</v>
      </c>
      <c r="I84" s="520">
        <v>0</v>
      </c>
      <c r="J84" s="188" t="e">
        <f>SUM(I84/H84)*100</f>
        <v>#DIV/0!</v>
      </c>
      <c r="K84" s="179" t="e">
        <f t="shared" si="13"/>
        <v>#DIV/0!</v>
      </c>
      <c r="L84" s="189">
        <f>E84-I84</f>
        <v>0</v>
      </c>
    </row>
    <row r="85" spans="2:12" ht="19.5" customHeight="1">
      <c r="B85" s="163"/>
      <c r="C85" s="224" t="s">
        <v>1434</v>
      </c>
      <c r="D85" s="213">
        <v>0</v>
      </c>
      <c r="E85" s="213">
        <v>0</v>
      </c>
      <c r="F85" s="187" t="e">
        <f>SUM(E85/D85)*100</f>
        <v>#DIV/0!</v>
      </c>
      <c r="G85" s="177">
        <f t="shared" si="12"/>
        <v>0</v>
      </c>
      <c r="H85" s="520">
        <v>0</v>
      </c>
      <c r="I85" s="520">
        <v>0</v>
      </c>
      <c r="J85" s="188" t="e">
        <f>SUM(I85/H85)*100</f>
        <v>#DIV/0!</v>
      </c>
      <c r="K85" s="179" t="e">
        <f t="shared" si="13"/>
        <v>#DIV/0!</v>
      </c>
      <c r="L85" s="189">
        <f>E85-I85</f>
        <v>0</v>
      </c>
    </row>
    <row r="86" spans="2:12" ht="19.5" customHeight="1">
      <c r="B86" s="163"/>
      <c r="C86" s="225"/>
      <c r="D86" s="213"/>
      <c r="E86" s="213"/>
      <c r="F86" s="187"/>
      <c r="G86" s="177">
        <f t="shared" si="12"/>
        <v>0</v>
      </c>
      <c r="H86" s="520"/>
      <c r="I86" s="520"/>
      <c r="J86" s="188"/>
      <c r="K86" s="179" t="e">
        <f t="shared" si="13"/>
        <v>#DIV/0!</v>
      </c>
      <c r="L86" s="189"/>
    </row>
    <row r="87" spans="2:12" s="181" customFormat="1" ht="19.5" customHeight="1">
      <c r="B87" s="214" t="s">
        <v>1621</v>
      </c>
      <c r="C87" s="214" t="s">
        <v>287</v>
      </c>
      <c r="D87" s="215">
        <f>SUM(D88:D90)</f>
        <v>6101500000</v>
      </c>
      <c r="E87" s="215">
        <f>SUM(E88:E90)</f>
        <v>6066669600</v>
      </c>
      <c r="F87" s="176">
        <f t="shared" si="10"/>
        <v>99.42915020896501</v>
      </c>
      <c r="G87" s="177">
        <f t="shared" si="12"/>
        <v>34830400</v>
      </c>
      <c r="H87" s="521">
        <f>SUM(H88:H90)</f>
        <v>2282500000</v>
      </c>
      <c r="I87" s="521">
        <f>SUM(I88:I90)</f>
        <v>2273441000</v>
      </c>
      <c r="J87" s="178">
        <f t="shared" si="8"/>
        <v>99.60311062431543</v>
      </c>
      <c r="K87" s="179">
        <f t="shared" si="13"/>
        <v>166.84966093248076</v>
      </c>
      <c r="L87" s="226">
        <f>SUM(L88:L90)</f>
        <v>3793228600</v>
      </c>
    </row>
    <row r="88" spans="2:12" ht="19.5" customHeight="1">
      <c r="B88" s="163"/>
      <c r="C88" s="209" t="s">
        <v>237</v>
      </c>
      <c r="D88" s="213">
        <v>5955250000</v>
      </c>
      <c r="E88" s="213">
        <v>5921076600</v>
      </c>
      <c r="F88" s="187">
        <f t="shared" si="10"/>
        <v>99.42616346920784</v>
      </c>
      <c r="G88" s="177">
        <f t="shared" si="12"/>
        <v>34173400</v>
      </c>
      <c r="H88" s="520">
        <v>2085500000</v>
      </c>
      <c r="I88" s="520">
        <v>2077774000</v>
      </c>
      <c r="J88" s="188">
        <f t="shared" si="8"/>
        <v>99.62953728122753</v>
      </c>
      <c r="K88" s="179">
        <f t="shared" si="13"/>
        <v>184.97211920064453</v>
      </c>
      <c r="L88" s="189">
        <f aca="true" t="shared" si="14" ref="L88:L99">E88-I88</f>
        <v>3843302600</v>
      </c>
    </row>
    <row r="89" spans="2:12" ht="19.5" customHeight="1">
      <c r="B89" s="163"/>
      <c r="C89" s="209" t="s">
        <v>238</v>
      </c>
      <c r="D89" s="213">
        <v>146250000</v>
      </c>
      <c r="E89" s="213">
        <v>145593000</v>
      </c>
      <c r="F89" s="234">
        <f t="shared" si="10"/>
        <v>99.55076923076923</v>
      </c>
      <c r="G89" s="177">
        <f t="shared" si="12"/>
        <v>657000</v>
      </c>
      <c r="H89" s="520">
        <v>197000000</v>
      </c>
      <c r="I89" s="520">
        <v>195667000</v>
      </c>
      <c r="J89" s="188">
        <f t="shared" si="8"/>
        <v>99.3233502538071</v>
      </c>
      <c r="K89" s="179">
        <f t="shared" si="13"/>
        <v>-25.59143851543694</v>
      </c>
      <c r="L89" s="189">
        <f t="shared" si="14"/>
        <v>-50074000</v>
      </c>
    </row>
    <row r="90" spans="2:12" ht="19.5" customHeight="1">
      <c r="B90" s="163"/>
      <c r="C90" s="209" t="s">
        <v>239</v>
      </c>
      <c r="D90" s="213">
        <v>0</v>
      </c>
      <c r="E90" s="213">
        <v>0</v>
      </c>
      <c r="F90" s="234" t="e">
        <f t="shared" si="10"/>
        <v>#DIV/0!</v>
      </c>
      <c r="G90" s="177">
        <f t="shared" si="12"/>
        <v>0</v>
      </c>
      <c r="H90" s="520">
        <v>0</v>
      </c>
      <c r="I90" s="520">
        <v>0</v>
      </c>
      <c r="J90" s="188" t="e">
        <f t="shared" si="8"/>
        <v>#DIV/0!</v>
      </c>
      <c r="K90" s="179" t="e">
        <f t="shared" si="13"/>
        <v>#DIV/0!</v>
      </c>
      <c r="L90" s="189">
        <f t="shared" si="14"/>
        <v>0</v>
      </c>
    </row>
    <row r="91" spans="2:12" s="181" customFormat="1" ht="19.5" customHeight="1">
      <c r="B91" s="210" t="s">
        <v>1622</v>
      </c>
      <c r="C91" s="210" t="s">
        <v>1426</v>
      </c>
      <c r="D91" s="227">
        <f>SUM(D92:D94)</f>
        <v>0</v>
      </c>
      <c r="E91" s="227">
        <f>SUM(E92:E94)</f>
        <v>0</v>
      </c>
      <c r="F91" s="176" t="e">
        <f t="shared" si="10"/>
        <v>#DIV/0!</v>
      </c>
      <c r="G91" s="177">
        <f t="shared" si="12"/>
        <v>0</v>
      </c>
      <c r="H91" s="523">
        <f>SUM(H92:H94)</f>
        <v>0</v>
      </c>
      <c r="I91" s="523">
        <f>SUM(I92:I94)</f>
        <v>0</v>
      </c>
      <c r="J91" s="178" t="e">
        <f t="shared" si="8"/>
        <v>#DIV/0!</v>
      </c>
      <c r="K91" s="179" t="e">
        <f t="shared" si="13"/>
        <v>#DIV/0!</v>
      </c>
      <c r="L91" s="228">
        <f>SUM(L92:L94)</f>
        <v>0</v>
      </c>
    </row>
    <row r="92" spans="2:12" ht="19.5" customHeight="1">
      <c r="B92" s="229"/>
      <c r="C92" s="230" t="s">
        <v>1435</v>
      </c>
      <c r="D92" s="213">
        <v>0</v>
      </c>
      <c r="E92" s="213">
        <v>0</v>
      </c>
      <c r="F92" s="187" t="e">
        <f>SUM(E92/D92)*100</f>
        <v>#DIV/0!</v>
      </c>
      <c r="G92" s="177">
        <f t="shared" si="12"/>
        <v>0</v>
      </c>
      <c r="H92" s="520">
        <v>0</v>
      </c>
      <c r="I92" s="520">
        <v>0</v>
      </c>
      <c r="J92" s="188" t="e">
        <f>SUM(I92/H92)*100</f>
        <v>#DIV/0!</v>
      </c>
      <c r="K92" s="179" t="e">
        <f t="shared" si="13"/>
        <v>#DIV/0!</v>
      </c>
      <c r="L92" s="189">
        <f t="shared" si="14"/>
        <v>0</v>
      </c>
    </row>
    <row r="93" spans="2:12" ht="19.5" customHeight="1">
      <c r="B93" s="229"/>
      <c r="C93" s="230" t="s">
        <v>1436</v>
      </c>
      <c r="D93" s="213">
        <v>0</v>
      </c>
      <c r="E93" s="213">
        <v>0</v>
      </c>
      <c r="F93" s="187" t="e">
        <f>SUM(E93/D93)*100</f>
        <v>#DIV/0!</v>
      </c>
      <c r="G93" s="177">
        <f t="shared" si="12"/>
        <v>0</v>
      </c>
      <c r="H93" s="520">
        <v>0</v>
      </c>
      <c r="I93" s="520">
        <v>0</v>
      </c>
      <c r="J93" s="188" t="e">
        <f>SUM(I93/H93)*100</f>
        <v>#DIV/0!</v>
      </c>
      <c r="K93" s="179" t="e">
        <f t="shared" si="13"/>
        <v>#DIV/0!</v>
      </c>
      <c r="L93" s="189">
        <f t="shared" si="14"/>
        <v>0</v>
      </c>
    </row>
    <row r="94" spans="2:12" ht="19.5" customHeight="1">
      <c r="B94" s="229"/>
      <c r="C94" s="230" t="s">
        <v>1437</v>
      </c>
      <c r="D94" s="213">
        <v>0</v>
      </c>
      <c r="E94" s="213">
        <v>0</v>
      </c>
      <c r="F94" s="187" t="e">
        <f>SUM(E94/D94)*100</f>
        <v>#DIV/0!</v>
      </c>
      <c r="G94" s="177">
        <f t="shared" si="12"/>
        <v>0</v>
      </c>
      <c r="H94" s="520">
        <v>0</v>
      </c>
      <c r="I94" s="520">
        <v>0</v>
      </c>
      <c r="J94" s="188" t="e">
        <f>SUM(I94/H94)*100</f>
        <v>#DIV/0!</v>
      </c>
      <c r="K94" s="179" t="e">
        <f t="shared" si="13"/>
        <v>#DIV/0!</v>
      </c>
      <c r="L94" s="189">
        <f t="shared" si="14"/>
        <v>0</v>
      </c>
    </row>
    <row r="95" spans="2:12" s="151" customFormat="1" ht="19.5" customHeight="1">
      <c r="B95" s="231" t="s">
        <v>1519</v>
      </c>
      <c r="C95" s="229" t="s">
        <v>1427</v>
      </c>
      <c r="D95" s="217">
        <v>0</v>
      </c>
      <c r="E95" s="217">
        <v>0</v>
      </c>
      <c r="F95" s="218" t="e">
        <f>SUM(E95/D95)*100</f>
        <v>#DIV/0!</v>
      </c>
      <c r="G95" s="222">
        <f t="shared" si="12"/>
        <v>0</v>
      </c>
      <c r="H95" s="522">
        <v>0</v>
      </c>
      <c r="I95" s="522">
        <v>0</v>
      </c>
      <c r="J95" s="219" t="e">
        <f>SUM(I95/H95)*100</f>
        <v>#DIV/0!</v>
      </c>
      <c r="K95" s="179" t="e">
        <f t="shared" si="13"/>
        <v>#DIV/0!</v>
      </c>
      <c r="L95" s="232">
        <f>E95-I95</f>
        <v>0</v>
      </c>
    </row>
    <row r="96" spans="2:12" ht="19.5" customHeight="1">
      <c r="B96" s="229"/>
      <c r="C96" s="236"/>
      <c r="D96" s="213"/>
      <c r="E96" s="213"/>
      <c r="F96" s="187"/>
      <c r="G96" s="177">
        <f>E96-D96</f>
        <v>0</v>
      </c>
      <c r="H96" s="520"/>
      <c r="I96" s="520"/>
      <c r="J96" s="188"/>
      <c r="K96" s="179"/>
      <c r="L96" s="189"/>
    </row>
    <row r="97" spans="2:12" s="220" customFormat="1" ht="15">
      <c r="B97" s="237"/>
      <c r="C97" s="238" t="s">
        <v>1399</v>
      </c>
      <c r="D97" s="215">
        <v>0</v>
      </c>
      <c r="E97" s="239">
        <v>0</v>
      </c>
      <c r="F97" s="211" t="e">
        <f t="shared" si="10"/>
        <v>#DIV/0!</v>
      </c>
      <c r="G97" s="177">
        <f>D97-E97</f>
        <v>0</v>
      </c>
      <c r="H97" s="525">
        <v>0</v>
      </c>
      <c r="I97" s="525">
        <v>0</v>
      </c>
      <c r="J97" s="240" t="e">
        <f>SUM(I97/H97)*100</f>
        <v>#DIV/0!</v>
      </c>
      <c r="K97" s="179" t="e">
        <f t="shared" si="13"/>
        <v>#DIV/0!</v>
      </c>
      <c r="L97" s="232">
        <f t="shared" si="14"/>
        <v>0</v>
      </c>
    </row>
    <row r="98" spans="2:12" s="151" customFormat="1" ht="15">
      <c r="B98" s="237"/>
      <c r="C98" s="238" t="s">
        <v>1513</v>
      </c>
      <c r="D98" s="215">
        <v>0</v>
      </c>
      <c r="E98" s="239">
        <v>0</v>
      </c>
      <c r="F98" s="211" t="e">
        <f>SUM(E98/D98)*100</f>
        <v>#DIV/0!</v>
      </c>
      <c r="G98" s="177">
        <f>D98-E98</f>
        <v>0</v>
      </c>
      <c r="H98" s="525">
        <v>0</v>
      </c>
      <c r="I98" s="525">
        <v>0</v>
      </c>
      <c r="J98" s="240" t="e">
        <f>SUM(I98/H98)*100</f>
        <v>#DIV/0!</v>
      </c>
      <c r="K98" s="179" t="e">
        <f t="shared" si="13"/>
        <v>#DIV/0!</v>
      </c>
      <c r="L98" s="232">
        <f t="shared" si="14"/>
        <v>0</v>
      </c>
    </row>
    <row r="99" spans="2:12" s="246" customFormat="1" ht="23.25" customHeight="1">
      <c r="B99" s="241"/>
      <c r="C99" s="242" t="s">
        <v>1451</v>
      </c>
      <c r="D99" s="243">
        <f>D18-D37</f>
        <v>-9772034508</v>
      </c>
      <c r="E99" s="243">
        <f>E18-E37</f>
        <v>-9332242166</v>
      </c>
      <c r="F99" s="244">
        <f>SUM(E99/D99)*100</f>
        <v>95.49948026032902</v>
      </c>
      <c r="G99" s="177">
        <f>D99-E99</f>
        <v>-439792342</v>
      </c>
      <c r="H99" s="526">
        <f>H18-H37</f>
        <v>-7562855000</v>
      </c>
      <c r="I99" s="526">
        <f>I18-I37</f>
        <v>-7298213492</v>
      </c>
      <c r="J99" s="245">
        <f>SUM(I99/H99)*100</f>
        <v>96.5007724199393</v>
      </c>
      <c r="K99" s="179">
        <f t="shared" si="13"/>
        <v>27.870227093652687</v>
      </c>
      <c r="L99" s="256">
        <f t="shared" si="14"/>
        <v>-2034028674</v>
      </c>
    </row>
    <row r="100" spans="2:12" ht="15">
      <c r="B100" s="154"/>
      <c r="C100" s="247"/>
      <c r="D100" s="248"/>
      <c r="E100" s="248"/>
      <c r="F100" s="249"/>
      <c r="G100" s="177"/>
      <c r="H100" s="527"/>
      <c r="I100" s="527"/>
      <c r="J100" s="250"/>
      <c r="K100" s="179"/>
      <c r="L100" s="251"/>
    </row>
    <row r="101" spans="2:12" s="151" customFormat="1" ht="15">
      <c r="B101" s="252"/>
      <c r="C101" s="253" t="s">
        <v>1484</v>
      </c>
      <c r="D101" s="254"/>
      <c r="E101" s="254"/>
      <c r="F101" s="222"/>
      <c r="G101" s="222"/>
      <c r="H101" s="528"/>
      <c r="I101" s="528"/>
      <c r="J101" s="255"/>
      <c r="K101" s="179"/>
      <c r="L101" s="256"/>
    </row>
    <row r="102" spans="2:12" s="151" customFormat="1" ht="15">
      <c r="B102" s="252"/>
      <c r="C102" s="253" t="s">
        <v>1482</v>
      </c>
      <c r="D102" s="254"/>
      <c r="E102" s="254"/>
      <c r="F102" s="222"/>
      <c r="G102" s="222"/>
      <c r="H102" s="528"/>
      <c r="I102" s="528"/>
      <c r="J102" s="255"/>
      <c r="K102" s="179"/>
      <c r="L102" s="256"/>
    </row>
    <row r="103" spans="2:12" ht="15">
      <c r="B103" s="257"/>
      <c r="C103" s="258" t="s">
        <v>1495</v>
      </c>
      <c r="D103" s="213">
        <v>0</v>
      </c>
      <c r="E103" s="213">
        <v>0</v>
      </c>
      <c r="F103" s="187" t="e">
        <f>SUM(E103/D103)*100</f>
        <v>#DIV/0!</v>
      </c>
      <c r="G103" s="177">
        <f>D103-E103</f>
        <v>0</v>
      </c>
      <c r="H103" s="520">
        <v>0</v>
      </c>
      <c r="I103" s="520">
        <v>0</v>
      </c>
      <c r="J103" s="188" t="e">
        <f aca="true" t="shared" si="15" ref="J103:J115">SUM(I103/H103)*100</f>
        <v>#DIV/0!</v>
      </c>
      <c r="K103" s="179" t="e">
        <f t="shared" si="13"/>
        <v>#DIV/0!</v>
      </c>
      <c r="L103" s="232">
        <f>E103-I103</f>
        <v>0</v>
      </c>
    </row>
    <row r="104" spans="2:12" ht="15">
      <c r="B104" s="257"/>
      <c r="C104" s="258" t="s">
        <v>1485</v>
      </c>
      <c r="D104" s="213">
        <v>0</v>
      </c>
      <c r="E104" s="213">
        <v>0</v>
      </c>
      <c r="F104" s="187" t="e">
        <f>SUM(E104/D104)*100</f>
        <v>#DIV/0!</v>
      </c>
      <c r="G104" s="177">
        <f>D104-E104</f>
        <v>0</v>
      </c>
      <c r="H104" s="520">
        <v>0</v>
      </c>
      <c r="I104" s="520">
        <v>0</v>
      </c>
      <c r="J104" s="188" t="e">
        <f t="shared" si="15"/>
        <v>#DIV/0!</v>
      </c>
      <c r="K104" s="179" t="e">
        <f t="shared" si="13"/>
        <v>#DIV/0!</v>
      </c>
      <c r="L104" s="232">
        <f>E104-I104</f>
        <v>0</v>
      </c>
    </row>
    <row r="105" spans="2:12" ht="15">
      <c r="B105" s="257"/>
      <c r="C105" s="258" t="s">
        <v>1486</v>
      </c>
      <c r="D105" s="213">
        <v>0</v>
      </c>
      <c r="E105" s="213">
        <v>0</v>
      </c>
      <c r="F105" s="187" t="e">
        <f>SUM(E105/D105)*100</f>
        <v>#DIV/0!</v>
      </c>
      <c r="G105" s="177">
        <f>D105-E105</f>
        <v>0</v>
      </c>
      <c r="H105" s="520">
        <v>0</v>
      </c>
      <c r="I105" s="520">
        <v>0</v>
      </c>
      <c r="J105" s="188" t="e">
        <f>SUM(I105/H105)*100</f>
        <v>#DIV/0!</v>
      </c>
      <c r="K105" s="179" t="e">
        <f t="shared" si="13"/>
        <v>#DIV/0!</v>
      </c>
      <c r="L105" s="232">
        <f>E105-I105</f>
        <v>0</v>
      </c>
    </row>
    <row r="106" spans="2:12" ht="15">
      <c r="B106" s="257"/>
      <c r="C106" s="258" t="s">
        <v>1492</v>
      </c>
      <c r="D106" s="213">
        <v>0</v>
      </c>
      <c r="E106" s="213">
        <v>0</v>
      </c>
      <c r="F106" s="187" t="e">
        <f>SUM(E106/D106)*100</f>
        <v>#DIV/0!</v>
      </c>
      <c r="G106" s="177">
        <f>D106-E106</f>
        <v>0</v>
      </c>
      <c r="H106" s="520">
        <v>0</v>
      </c>
      <c r="I106" s="520">
        <v>0</v>
      </c>
      <c r="J106" s="188" t="e">
        <f t="shared" si="15"/>
        <v>#DIV/0!</v>
      </c>
      <c r="K106" s="179" t="e">
        <f t="shared" si="13"/>
        <v>#DIV/0!</v>
      </c>
      <c r="L106" s="232">
        <f>E106-I106</f>
        <v>0</v>
      </c>
    </row>
    <row r="107" spans="2:12" s="220" customFormat="1" ht="14.25">
      <c r="B107" s="252"/>
      <c r="C107" s="253" t="s">
        <v>1487</v>
      </c>
      <c r="D107" s="215">
        <f>SUM(D103:D106)</f>
        <v>0</v>
      </c>
      <c r="E107" s="215">
        <f>SUM(E103:E106)</f>
        <v>0</v>
      </c>
      <c r="F107" s="211" t="e">
        <f>SUM(E107/D107)*100</f>
        <v>#DIV/0!</v>
      </c>
      <c r="G107" s="222">
        <f>D107-E107</f>
        <v>0</v>
      </c>
      <c r="H107" s="521">
        <f>SUM(H103:H106)</f>
        <v>0</v>
      </c>
      <c r="I107" s="521">
        <f>SUM(I103:I106)</f>
        <v>0</v>
      </c>
      <c r="J107" s="240" t="e">
        <f t="shared" si="15"/>
        <v>#DIV/0!</v>
      </c>
      <c r="K107" s="179" t="e">
        <f t="shared" si="13"/>
        <v>#DIV/0!</v>
      </c>
      <c r="L107" s="226">
        <f>SUM(L103:L106)</f>
        <v>0</v>
      </c>
    </row>
    <row r="108" spans="2:12" ht="15">
      <c r="B108" s="257"/>
      <c r="C108" s="259"/>
      <c r="D108" s="260"/>
      <c r="E108" s="260"/>
      <c r="F108" s="261"/>
      <c r="G108" s="177"/>
      <c r="H108" s="529"/>
      <c r="I108" s="529"/>
      <c r="J108" s="188"/>
      <c r="K108" s="179" t="e">
        <f t="shared" si="13"/>
        <v>#DIV/0!</v>
      </c>
      <c r="L108" s="235"/>
    </row>
    <row r="109" spans="2:12" s="151" customFormat="1" ht="15">
      <c r="B109" s="252"/>
      <c r="C109" s="253" t="s">
        <v>1488</v>
      </c>
      <c r="D109" s="217"/>
      <c r="E109" s="217"/>
      <c r="F109" s="222"/>
      <c r="G109" s="222"/>
      <c r="H109" s="522"/>
      <c r="I109" s="522"/>
      <c r="J109" s="219"/>
      <c r="K109" s="179" t="e">
        <f t="shared" si="13"/>
        <v>#DIV/0!</v>
      </c>
      <c r="L109" s="256"/>
    </row>
    <row r="110" spans="2:12" ht="15">
      <c r="B110" s="257"/>
      <c r="C110" s="258" t="s">
        <v>1491</v>
      </c>
      <c r="D110" s="213">
        <v>0</v>
      </c>
      <c r="E110" s="213">
        <v>0</v>
      </c>
      <c r="F110" s="187" t="e">
        <f aca="true" t="shared" si="16" ref="F110:F115">SUM(E110/D110)*100</f>
        <v>#DIV/0!</v>
      </c>
      <c r="G110" s="177">
        <f aca="true" t="shared" si="17" ref="G110:G115">D110-E110</f>
        <v>0</v>
      </c>
      <c r="H110" s="520">
        <v>0</v>
      </c>
      <c r="I110" s="520">
        <v>0</v>
      </c>
      <c r="J110" s="188" t="e">
        <f t="shared" si="15"/>
        <v>#DIV/0!</v>
      </c>
      <c r="K110" s="179" t="e">
        <f t="shared" si="13"/>
        <v>#DIV/0!</v>
      </c>
      <c r="L110" s="232">
        <f>E110-I110</f>
        <v>0</v>
      </c>
    </row>
    <row r="111" spans="2:12" ht="15">
      <c r="B111" s="257"/>
      <c r="C111" s="258" t="s">
        <v>1489</v>
      </c>
      <c r="D111" s="213">
        <v>0</v>
      </c>
      <c r="E111" s="213">
        <v>0</v>
      </c>
      <c r="F111" s="187" t="e">
        <f t="shared" si="16"/>
        <v>#DIV/0!</v>
      </c>
      <c r="G111" s="177">
        <f t="shared" si="17"/>
        <v>0</v>
      </c>
      <c r="H111" s="520">
        <v>0</v>
      </c>
      <c r="I111" s="520">
        <v>0</v>
      </c>
      <c r="J111" s="188" t="e">
        <f t="shared" si="15"/>
        <v>#DIV/0!</v>
      </c>
      <c r="K111" s="179" t="e">
        <f t="shared" si="13"/>
        <v>#DIV/0!</v>
      </c>
      <c r="L111" s="232">
        <f>E111-I111</f>
        <v>0</v>
      </c>
    </row>
    <row r="112" spans="2:12" ht="15">
      <c r="B112" s="257"/>
      <c r="C112" s="258" t="s">
        <v>1490</v>
      </c>
      <c r="D112" s="213">
        <v>0</v>
      </c>
      <c r="E112" s="213">
        <v>0</v>
      </c>
      <c r="F112" s="187" t="e">
        <f t="shared" si="16"/>
        <v>#DIV/0!</v>
      </c>
      <c r="G112" s="177">
        <f t="shared" si="17"/>
        <v>0</v>
      </c>
      <c r="H112" s="520">
        <v>0</v>
      </c>
      <c r="I112" s="520">
        <v>0</v>
      </c>
      <c r="J112" s="188" t="e">
        <f t="shared" si="15"/>
        <v>#DIV/0!</v>
      </c>
      <c r="K112" s="179" t="e">
        <f t="shared" si="13"/>
        <v>#DIV/0!</v>
      </c>
      <c r="L112" s="232">
        <f>E112-I112</f>
        <v>0</v>
      </c>
    </row>
    <row r="113" spans="2:12" s="220" customFormat="1" ht="14.25">
      <c r="B113" s="252"/>
      <c r="C113" s="253" t="s">
        <v>1493</v>
      </c>
      <c r="D113" s="215">
        <f>SUM(D110:D112)</f>
        <v>0</v>
      </c>
      <c r="E113" s="215">
        <f>SUM(E110:E112)</f>
        <v>0</v>
      </c>
      <c r="F113" s="211" t="e">
        <f t="shared" si="16"/>
        <v>#DIV/0!</v>
      </c>
      <c r="G113" s="222">
        <f t="shared" si="17"/>
        <v>0</v>
      </c>
      <c r="H113" s="521">
        <f>SUM(H110:H112)</f>
        <v>0</v>
      </c>
      <c r="I113" s="521">
        <f>SUM(I110:I112)</f>
        <v>0</v>
      </c>
      <c r="J113" s="240" t="e">
        <f t="shared" si="15"/>
        <v>#DIV/0!</v>
      </c>
      <c r="K113" s="179" t="e">
        <f t="shared" si="13"/>
        <v>#DIV/0!</v>
      </c>
      <c r="L113" s="226">
        <f>SUM(L110:L112)</f>
        <v>0</v>
      </c>
    </row>
    <row r="114" spans="2:12" s="220" customFormat="1" ht="14.25">
      <c r="B114" s="252"/>
      <c r="C114" s="253" t="s">
        <v>1478</v>
      </c>
      <c r="D114" s="215">
        <f>D107-D113</f>
        <v>0</v>
      </c>
      <c r="E114" s="215">
        <f>E107-E113</f>
        <v>0</v>
      </c>
      <c r="F114" s="211" t="e">
        <f t="shared" si="16"/>
        <v>#DIV/0!</v>
      </c>
      <c r="G114" s="222">
        <f t="shared" si="17"/>
        <v>0</v>
      </c>
      <c r="H114" s="521">
        <f>H107-H113</f>
        <v>0</v>
      </c>
      <c r="I114" s="521">
        <f>I107-I113</f>
        <v>0</v>
      </c>
      <c r="J114" s="240" t="e">
        <f t="shared" si="15"/>
        <v>#DIV/0!</v>
      </c>
      <c r="K114" s="179" t="e">
        <f t="shared" si="13"/>
        <v>#DIV/0!</v>
      </c>
      <c r="L114" s="226">
        <f>L107-L113</f>
        <v>0</v>
      </c>
    </row>
    <row r="115" spans="2:12" s="220" customFormat="1" ht="24" customHeight="1" thickBot="1">
      <c r="B115" s="262"/>
      <c r="C115" s="263" t="s">
        <v>1425</v>
      </c>
      <c r="D115" s="264">
        <f>D99+D114</f>
        <v>-9772034508</v>
      </c>
      <c r="E115" s="264">
        <f>E99+E114</f>
        <v>-9332242166</v>
      </c>
      <c r="F115" s="265">
        <f t="shared" si="16"/>
        <v>95.49948026032902</v>
      </c>
      <c r="G115" s="265">
        <f t="shared" si="17"/>
        <v>-439792342</v>
      </c>
      <c r="H115" s="530">
        <f>H99+H114</f>
        <v>-7562855000</v>
      </c>
      <c r="I115" s="530">
        <f>I99+I114</f>
        <v>-7298213492</v>
      </c>
      <c r="J115" s="240">
        <f t="shared" si="15"/>
        <v>96.5007724199393</v>
      </c>
      <c r="K115" s="179">
        <f t="shared" si="13"/>
        <v>27.870227093652687</v>
      </c>
      <c r="L115" s="264">
        <f>L99+L114</f>
        <v>-2034028674</v>
      </c>
    </row>
    <row r="116" spans="2:12" s="220" customFormat="1" ht="24" customHeight="1" thickTop="1">
      <c r="B116" s="612"/>
      <c r="C116" s="613"/>
      <c r="D116" s="614"/>
      <c r="E116" s="614"/>
      <c r="F116" s="615"/>
      <c r="G116" s="615"/>
      <c r="H116" s="617"/>
      <c r="I116" s="617"/>
      <c r="J116" s="618"/>
      <c r="K116" s="619"/>
      <c r="L116" s="617"/>
    </row>
    <row r="117" spans="2:8" ht="15">
      <c r="B117" s="266" t="s">
        <v>1690</v>
      </c>
      <c r="C117" s="267"/>
      <c r="D117" s="268"/>
      <c r="F117" s="192"/>
      <c r="G117" s="193"/>
      <c r="H117" s="194"/>
    </row>
    <row r="118" spans="2:12" s="181" customFormat="1" ht="14.25">
      <c r="B118" s="920" t="s">
        <v>126</v>
      </c>
      <c r="C118" s="920" t="s">
        <v>281</v>
      </c>
      <c r="D118" s="922">
        <v>2017</v>
      </c>
      <c r="E118" s="922"/>
      <c r="F118" s="269">
        <v>2016</v>
      </c>
      <c r="G118" s="616"/>
      <c r="H118" s="270"/>
      <c r="I118" s="271"/>
      <c r="L118" s="271"/>
    </row>
    <row r="119" spans="2:12" s="181" customFormat="1" ht="14.25">
      <c r="B119" s="921"/>
      <c r="C119" s="921"/>
      <c r="D119" s="272" t="s">
        <v>282</v>
      </c>
      <c r="E119" s="273" t="s">
        <v>283</v>
      </c>
      <c r="F119" s="274" t="s">
        <v>283</v>
      </c>
      <c r="G119" s="616"/>
      <c r="H119" s="270"/>
      <c r="I119" s="271"/>
      <c r="L119" s="271"/>
    </row>
    <row r="120" spans="2:8" ht="15">
      <c r="B120" s="275">
        <v>1</v>
      </c>
      <c r="C120" s="276" t="s">
        <v>286</v>
      </c>
      <c r="D120" s="277">
        <f>D69</f>
        <v>0</v>
      </c>
      <c r="E120" s="278">
        <f>E69</f>
        <v>0</v>
      </c>
      <c r="F120" s="279">
        <f>I69</f>
        <v>0</v>
      </c>
      <c r="G120" s="280"/>
      <c r="H120" s="194"/>
    </row>
    <row r="121" spans="2:8" ht="15">
      <c r="B121" s="275">
        <v>2</v>
      </c>
      <c r="C121" s="276" t="s">
        <v>285</v>
      </c>
      <c r="D121" s="281">
        <f>D72</f>
        <v>200000000</v>
      </c>
      <c r="E121" s="281">
        <f>E72</f>
        <v>190286160</v>
      </c>
      <c r="F121" s="279">
        <f>I72</f>
        <v>0</v>
      </c>
      <c r="G121" s="280"/>
      <c r="H121" s="194"/>
    </row>
    <row r="122" spans="2:8" ht="15">
      <c r="B122" s="275">
        <v>3</v>
      </c>
      <c r="C122" s="276" t="s">
        <v>1210</v>
      </c>
      <c r="D122" s="277">
        <f>D82</f>
        <v>0</v>
      </c>
      <c r="E122" s="277">
        <f>E82</f>
        <v>0</v>
      </c>
      <c r="F122" s="279">
        <f>I82</f>
        <v>192400000</v>
      </c>
      <c r="G122" s="280"/>
      <c r="H122" s="194"/>
    </row>
    <row r="123" spans="2:8" ht="15">
      <c r="B123" s="275">
        <v>4</v>
      </c>
      <c r="C123" s="276" t="s">
        <v>287</v>
      </c>
      <c r="D123" s="281">
        <f>D87</f>
        <v>6101500000</v>
      </c>
      <c r="E123" s="281">
        <f>E87</f>
        <v>6066669600</v>
      </c>
      <c r="F123" s="282">
        <f>I87</f>
        <v>2273441000</v>
      </c>
      <c r="G123" s="283"/>
      <c r="H123" s="194"/>
    </row>
    <row r="124" spans="2:8" ht="15">
      <c r="B124" s="275">
        <v>5</v>
      </c>
      <c r="C124" s="276" t="s">
        <v>1211</v>
      </c>
      <c r="D124" s="281">
        <f>D91</f>
        <v>0</v>
      </c>
      <c r="E124" s="281">
        <f>E91</f>
        <v>0</v>
      </c>
      <c r="F124" s="282">
        <f>I91</f>
        <v>0</v>
      </c>
      <c r="G124" s="283"/>
      <c r="H124" s="194"/>
    </row>
    <row r="125" spans="2:8" ht="15">
      <c r="B125" s="275"/>
      <c r="C125" s="284" t="s">
        <v>284</v>
      </c>
      <c r="D125" s="285">
        <f>SUM(D120:D124)</f>
        <v>6301500000</v>
      </c>
      <c r="E125" s="285">
        <f>SUM(E120:E124)</f>
        <v>6256955760</v>
      </c>
      <c r="F125" s="286">
        <f>SUM(F120:F124)</f>
        <v>2465841000</v>
      </c>
      <c r="G125" s="287"/>
      <c r="H125" s="194"/>
    </row>
    <row r="126" spans="2:8" ht="15">
      <c r="B126" s="266"/>
      <c r="C126" s="267"/>
      <c r="D126" s="268"/>
      <c r="F126" s="192"/>
      <c r="G126" s="193"/>
      <c r="H126" s="194"/>
    </row>
    <row r="127" spans="4:12" s="181" customFormat="1" ht="14.25">
      <c r="D127" s="271"/>
      <c r="E127" s="271"/>
      <c r="F127" s="288"/>
      <c r="H127" s="289"/>
      <c r="I127" s="271"/>
      <c r="L127" s="271"/>
    </row>
    <row r="128" spans="2:8" ht="15">
      <c r="B128" s="150"/>
      <c r="C128" s="150"/>
      <c r="H128" s="290"/>
    </row>
    <row r="129" spans="2:11" ht="15">
      <c r="B129" s="150"/>
      <c r="C129" s="150"/>
      <c r="F129" s="291"/>
      <c r="G129" s="152"/>
      <c r="H129" s="292"/>
      <c r="I129" s="293"/>
      <c r="J129" s="152"/>
      <c r="K129" s="152"/>
    </row>
    <row r="130" spans="2:11" ht="15">
      <c r="B130" s="150"/>
      <c r="C130" s="150"/>
      <c r="F130" s="291"/>
      <c r="G130" s="152"/>
      <c r="H130" s="292"/>
      <c r="I130" s="293"/>
      <c r="J130" s="152"/>
      <c r="K130" s="152"/>
    </row>
    <row r="131" spans="2:8" ht="15">
      <c r="B131" s="150"/>
      <c r="C131" s="150"/>
      <c r="H131" s="290"/>
    </row>
    <row r="132" spans="4:12" s="181" customFormat="1" ht="14.25">
      <c r="D132" s="271"/>
      <c r="E132" s="271"/>
      <c r="F132" s="294"/>
      <c r="G132" s="295"/>
      <c r="H132" s="270"/>
      <c r="I132" s="296"/>
      <c r="L132" s="271"/>
    </row>
    <row r="133" spans="2:9" ht="15">
      <c r="B133" s="150"/>
      <c r="C133" s="150"/>
      <c r="F133" s="192"/>
      <c r="G133" s="193"/>
      <c r="H133" s="194"/>
      <c r="I133" s="297"/>
    </row>
    <row r="134" spans="2:9" ht="15">
      <c r="B134" s="150"/>
      <c r="C134" s="150"/>
      <c r="F134" s="192"/>
      <c r="G134" s="193"/>
      <c r="H134" s="194"/>
      <c r="I134" s="297"/>
    </row>
    <row r="135" spans="2:9" ht="15">
      <c r="B135" s="150"/>
      <c r="C135" s="150"/>
      <c r="F135" s="192"/>
      <c r="G135" s="298"/>
      <c r="H135" s="194"/>
      <c r="I135" s="297"/>
    </row>
    <row r="136" spans="2:9" ht="15">
      <c r="B136" s="150"/>
      <c r="C136" s="150"/>
      <c r="F136" s="192"/>
      <c r="G136" s="298"/>
      <c r="H136" s="194"/>
      <c r="I136" s="297"/>
    </row>
    <row r="142" ht="15">
      <c r="C142" s="609"/>
    </row>
    <row r="143" ht="15">
      <c r="C143" s="609"/>
    </row>
    <row r="144" ht="15">
      <c r="C144" s="609"/>
    </row>
    <row r="145" ht="15">
      <c r="C145" s="609"/>
    </row>
    <row r="146" ht="15">
      <c r="C146" s="609"/>
    </row>
    <row r="147" ht="15">
      <c r="C147" s="609"/>
    </row>
    <row r="148" ht="15">
      <c r="C148" s="609"/>
    </row>
    <row r="149" ht="15">
      <c r="C149" s="609"/>
    </row>
    <row r="150" ht="15">
      <c r="C150" s="609"/>
    </row>
    <row r="151" ht="15">
      <c r="C151" s="609"/>
    </row>
    <row r="152" ht="15">
      <c r="C152" s="609"/>
    </row>
  </sheetData>
  <sheetProtection/>
  <mergeCells count="15">
    <mergeCell ref="L16:L17"/>
    <mergeCell ref="H35:J35"/>
    <mergeCell ref="B35:C36"/>
    <mergeCell ref="K16:K17"/>
    <mergeCell ref="L35:L36"/>
    <mergeCell ref="K35:K36"/>
    <mergeCell ref="D16:G16"/>
    <mergeCell ref="D35:G35"/>
    <mergeCell ref="C118:C119"/>
    <mergeCell ref="D118:E118"/>
    <mergeCell ref="B118:B119"/>
    <mergeCell ref="B8:C8"/>
    <mergeCell ref="B3:C3"/>
    <mergeCell ref="H16:J16"/>
    <mergeCell ref="B16:C17"/>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B1:N215"/>
  <sheetViews>
    <sheetView zoomScalePageLayoutView="0" workbookViewId="0" topLeftCell="B142">
      <selection activeCell="H161" sqref="H161"/>
    </sheetView>
  </sheetViews>
  <sheetFormatPr defaultColWidth="9.140625" defaultRowHeight="15"/>
  <cols>
    <col min="1" max="1" width="2.421875" style="328" customWidth="1"/>
    <col min="2" max="2" width="15.28125" style="336" customWidth="1"/>
    <col min="3" max="3" width="40.7109375" style="336" customWidth="1"/>
    <col min="4" max="9" width="21.28125" style="328" customWidth="1"/>
    <col min="10" max="10" width="15.7109375" style="337" customWidth="1"/>
    <col min="11" max="11" width="20.8515625" style="337" customWidth="1"/>
    <col min="12" max="12" width="16.00390625" style="328" customWidth="1"/>
    <col min="13" max="13" width="21.00390625" style="338" customWidth="1"/>
    <col min="14" max="14" width="12.00390625" style="328" bestFit="1" customWidth="1"/>
    <col min="15" max="16384" width="9.140625" style="328" customWidth="1"/>
  </cols>
  <sheetData>
    <row r="1" spans="2:14" s="302" customFormat="1" ht="15" thickBot="1">
      <c r="B1" s="299"/>
      <c r="C1" s="299"/>
      <c r="D1" s="300"/>
      <c r="E1" s="300"/>
      <c r="F1" s="300"/>
      <c r="G1" s="300"/>
      <c r="H1" s="300"/>
      <c r="I1" s="300"/>
      <c r="J1" s="301"/>
      <c r="K1" s="301"/>
      <c r="M1" s="303"/>
      <c r="N1" s="304"/>
    </row>
    <row r="2" spans="2:14" s="302" customFormat="1" ht="15.75" thickTop="1">
      <c r="B2" s="305"/>
      <c r="C2" s="305"/>
      <c r="D2" s="300"/>
      <c r="E2" s="306"/>
      <c r="F2" s="306"/>
      <c r="G2" s="306"/>
      <c r="H2" s="306"/>
      <c r="I2" s="307"/>
      <c r="J2" s="308"/>
      <c r="K2" s="301"/>
      <c r="M2" s="309"/>
      <c r="N2" s="310"/>
    </row>
    <row r="3" spans="2:14" s="302" customFormat="1" ht="14.25">
      <c r="B3" s="953" t="s">
        <v>441</v>
      </c>
      <c r="C3" s="953" t="s">
        <v>256</v>
      </c>
      <c r="D3" s="954" t="str">
        <f>"SALDO AWAL "&amp;'2.ISIAN DATA SKPD'!D12&amp;""</f>
        <v>SALDO AWAL 2016</v>
      </c>
      <c r="E3" s="955" t="s">
        <v>442</v>
      </c>
      <c r="F3" s="955"/>
      <c r="G3" s="955" t="s">
        <v>443</v>
      </c>
      <c r="H3" s="955"/>
      <c r="I3" s="951" t="str">
        <f>"SALDO AKHIR  "&amp;'2.ISIAN DATA SKPD'!D11&amp;""</f>
        <v>SALDO AKHIR  2017</v>
      </c>
      <c r="J3" s="949" t="s">
        <v>1247</v>
      </c>
      <c r="K3" s="947" t="s">
        <v>1250</v>
      </c>
      <c r="L3" s="311"/>
      <c r="M3" s="312" t="s">
        <v>1588</v>
      </c>
      <c r="N3" s="312" t="s">
        <v>1589</v>
      </c>
    </row>
    <row r="4" spans="2:14" s="302" customFormat="1" ht="14.25">
      <c r="B4" s="953"/>
      <c r="C4" s="953"/>
      <c r="D4" s="954"/>
      <c r="E4" s="313" t="s">
        <v>419</v>
      </c>
      <c r="F4" s="313" t="s">
        <v>420</v>
      </c>
      <c r="G4" s="313" t="s">
        <v>419</v>
      </c>
      <c r="H4" s="313" t="s">
        <v>420</v>
      </c>
      <c r="I4" s="952"/>
      <c r="J4" s="950"/>
      <c r="K4" s="948"/>
      <c r="L4" s="314"/>
      <c r="M4" s="315"/>
      <c r="N4" s="315"/>
    </row>
    <row r="5" spans="2:14" s="302" customFormat="1" ht="15">
      <c r="B5" s="316" t="s">
        <v>15</v>
      </c>
      <c r="C5" s="316" t="s">
        <v>11</v>
      </c>
      <c r="D5" s="317">
        <f aca="true" t="shared" si="0" ref="D5:I5">+D6+D49+D61+D136+D138</f>
        <v>4265046069</v>
      </c>
      <c r="E5" s="317">
        <f t="shared" si="0"/>
        <v>23521173</v>
      </c>
      <c r="F5" s="317">
        <f t="shared" si="0"/>
        <v>23521173</v>
      </c>
      <c r="G5" s="317">
        <f t="shared" si="0"/>
        <v>15454765935</v>
      </c>
      <c r="H5" s="317">
        <f t="shared" si="0"/>
        <v>13350308492</v>
      </c>
      <c r="I5" s="317">
        <f t="shared" si="0"/>
        <v>6369503512</v>
      </c>
      <c r="J5" s="318">
        <f>(I5-D5)/D5*100</f>
        <v>49.341962758527</v>
      </c>
      <c r="K5" s="319">
        <f>I5-D5</f>
        <v>2104457443</v>
      </c>
      <c r="L5" s="320"/>
      <c r="M5" s="321">
        <f>D5+E5-F5+G5-H5</f>
        <v>6369503512</v>
      </c>
      <c r="N5" s="321">
        <f>I5-M5</f>
        <v>0</v>
      </c>
    </row>
    <row r="6" spans="2:14" s="302" customFormat="1" ht="15">
      <c r="B6" s="316" t="s">
        <v>444</v>
      </c>
      <c r="C6" s="316" t="s">
        <v>400</v>
      </c>
      <c r="D6" s="317">
        <f aca="true" t="shared" si="1" ref="D6:I6">+D7+D14+D22+D28+D34+D37+D43+D47</f>
        <v>227764737</v>
      </c>
      <c r="E6" s="317">
        <f t="shared" si="1"/>
        <v>0</v>
      </c>
      <c r="F6" s="317">
        <f t="shared" si="1"/>
        <v>0</v>
      </c>
      <c r="G6" s="317">
        <f t="shared" si="1"/>
        <v>9403197191</v>
      </c>
      <c r="H6" s="317">
        <f t="shared" si="1"/>
        <v>9408961928</v>
      </c>
      <c r="I6" s="317">
        <f t="shared" si="1"/>
        <v>222000000</v>
      </c>
      <c r="J6" s="318">
        <f aca="true" t="shared" si="2" ref="J6:J69">(I6-D6)/D6*100</f>
        <v>-2.5310050519365515</v>
      </c>
      <c r="K6" s="319">
        <f aca="true" t="shared" si="3" ref="K6:K69">I6-D6</f>
        <v>-5764737</v>
      </c>
      <c r="L6" s="320"/>
      <c r="M6" s="321">
        <f aca="true" t="shared" si="4" ref="M6:M69">D6+E6-F6+G6-H6</f>
        <v>222000000</v>
      </c>
      <c r="N6" s="321">
        <f aca="true" t="shared" si="5" ref="N6:N69">I6-M6</f>
        <v>0</v>
      </c>
    </row>
    <row r="7" spans="2:14" s="323" customFormat="1" ht="15">
      <c r="B7" s="322" t="s">
        <v>327</v>
      </c>
      <c r="C7" s="316" t="s">
        <v>401</v>
      </c>
      <c r="D7" s="317">
        <f aca="true" t="shared" si="6" ref="D7:I7">+D8+D9+D10+D11+D12+D13</f>
        <v>5764737</v>
      </c>
      <c r="E7" s="317">
        <f t="shared" si="6"/>
        <v>0</v>
      </c>
      <c r="F7" s="317">
        <f t="shared" si="6"/>
        <v>0</v>
      </c>
      <c r="G7" s="317">
        <f t="shared" si="6"/>
        <v>9357805691</v>
      </c>
      <c r="H7" s="317">
        <f t="shared" si="6"/>
        <v>9363570428</v>
      </c>
      <c r="I7" s="317">
        <f t="shared" si="6"/>
        <v>0</v>
      </c>
      <c r="J7" s="318">
        <f t="shared" si="2"/>
        <v>-100</v>
      </c>
      <c r="K7" s="319">
        <f t="shared" si="3"/>
        <v>-5764737</v>
      </c>
      <c r="L7" s="320"/>
      <c r="M7" s="321">
        <f t="shared" si="4"/>
        <v>0</v>
      </c>
      <c r="N7" s="321">
        <f t="shared" si="5"/>
        <v>0</v>
      </c>
    </row>
    <row r="8" spans="2:14" s="323" customFormat="1" ht="15">
      <c r="B8" s="322" t="s">
        <v>445</v>
      </c>
      <c r="C8" s="322" t="s">
        <v>446</v>
      </c>
      <c r="D8" s="324">
        <v>0</v>
      </c>
      <c r="E8" s="324">
        <v>0</v>
      </c>
      <c r="F8" s="324">
        <v>0</v>
      </c>
      <c r="G8" s="324">
        <v>0</v>
      </c>
      <c r="H8" s="324">
        <v>0</v>
      </c>
      <c r="I8" s="324">
        <f aca="true" t="shared" si="7" ref="I8:I13">+D8+E8-F8+G8-H8</f>
        <v>0</v>
      </c>
      <c r="J8" s="318" t="e">
        <f t="shared" si="2"/>
        <v>#DIV/0!</v>
      </c>
      <c r="K8" s="319">
        <f t="shared" si="3"/>
        <v>0</v>
      </c>
      <c r="L8" s="320"/>
      <c r="M8" s="325">
        <f t="shared" si="4"/>
        <v>0</v>
      </c>
      <c r="N8" s="325">
        <f t="shared" si="5"/>
        <v>0</v>
      </c>
    </row>
    <row r="9" spans="2:14" s="323" customFormat="1" ht="15">
      <c r="B9" s="322" t="s">
        <v>328</v>
      </c>
      <c r="C9" s="322" t="s">
        <v>85</v>
      </c>
      <c r="D9" s="324">
        <v>0</v>
      </c>
      <c r="E9" s="324">
        <v>0</v>
      </c>
      <c r="F9" s="324">
        <v>0</v>
      </c>
      <c r="G9" s="324">
        <v>0</v>
      </c>
      <c r="H9" s="324">
        <v>0</v>
      </c>
      <c r="I9" s="324">
        <f t="shared" si="7"/>
        <v>0</v>
      </c>
      <c r="J9" s="318" t="e">
        <f t="shared" si="2"/>
        <v>#DIV/0!</v>
      </c>
      <c r="K9" s="319">
        <f t="shared" si="3"/>
        <v>0</v>
      </c>
      <c r="L9" s="320"/>
      <c r="M9" s="325">
        <f t="shared" si="4"/>
        <v>0</v>
      </c>
      <c r="N9" s="325">
        <f t="shared" si="5"/>
        <v>0</v>
      </c>
    </row>
    <row r="10" spans="2:14" s="323" customFormat="1" ht="15">
      <c r="B10" s="322" t="s">
        <v>329</v>
      </c>
      <c r="C10" s="322" t="s">
        <v>12</v>
      </c>
      <c r="D10" s="324">
        <v>5764737</v>
      </c>
      <c r="E10" s="324">
        <v>0</v>
      </c>
      <c r="F10" s="324">
        <v>0</v>
      </c>
      <c r="G10" s="324">
        <v>9357805691</v>
      </c>
      <c r="H10" s="324">
        <v>9363570428</v>
      </c>
      <c r="I10" s="324">
        <f t="shared" si="7"/>
        <v>0</v>
      </c>
      <c r="J10" s="318">
        <f t="shared" si="2"/>
        <v>-100</v>
      </c>
      <c r="K10" s="319">
        <f t="shared" si="3"/>
        <v>-5764737</v>
      </c>
      <c r="L10" s="320"/>
      <c r="M10" s="325">
        <f t="shared" si="4"/>
        <v>0</v>
      </c>
      <c r="N10" s="325">
        <f t="shared" si="5"/>
        <v>0</v>
      </c>
    </row>
    <row r="11" spans="2:14" s="323" customFormat="1" ht="15">
      <c r="B11" s="322" t="s">
        <v>330</v>
      </c>
      <c r="C11" s="322" t="s">
        <v>402</v>
      </c>
      <c r="D11" s="324">
        <v>0</v>
      </c>
      <c r="E11" s="324">
        <v>0</v>
      </c>
      <c r="F11" s="324">
        <v>0</v>
      </c>
      <c r="G11" s="324">
        <v>0</v>
      </c>
      <c r="H11" s="324">
        <v>0</v>
      </c>
      <c r="I11" s="324">
        <f t="shared" si="7"/>
        <v>0</v>
      </c>
      <c r="J11" s="318" t="e">
        <f t="shared" si="2"/>
        <v>#DIV/0!</v>
      </c>
      <c r="K11" s="319">
        <f t="shared" si="3"/>
        <v>0</v>
      </c>
      <c r="L11" s="320"/>
      <c r="M11" s="325">
        <f t="shared" si="4"/>
        <v>0</v>
      </c>
      <c r="N11" s="325">
        <f t="shared" si="5"/>
        <v>0</v>
      </c>
    </row>
    <row r="12" spans="2:14" s="323" customFormat="1" ht="15">
      <c r="B12" s="322" t="s">
        <v>447</v>
      </c>
      <c r="C12" s="322" t="s">
        <v>448</v>
      </c>
      <c r="D12" s="324">
        <v>0</v>
      </c>
      <c r="E12" s="324">
        <v>0</v>
      </c>
      <c r="F12" s="324">
        <v>0</v>
      </c>
      <c r="G12" s="324">
        <v>0</v>
      </c>
      <c r="H12" s="324">
        <v>0</v>
      </c>
      <c r="I12" s="324">
        <f t="shared" si="7"/>
        <v>0</v>
      </c>
      <c r="J12" s="318" t="e">
        <f t="shared" si="2"/>
        <v>#DIV/0!</v>
      </c>
      <c r="K12" s="319">
        <f t="shared" si="3"/>
        <v>0</v>
      </c>
      <c r="L12" s="320"/>
      <c r="M12" s="325">
        <f t="shared" si="4"/>
        <v>0</v>
      </c>
      <c r="N12" s="325">
        <f t="shared" si="5"/>
        <v>0</v>
      </c>
    </row>
    <row r="13" spans="2:14" s="323" customFormat="1" ht="15">
      <c r="B13" s="322" t="s">
        <v>449</v>
      </c>
      <c r="C13" s="322" t="s">
        <v>450</v>
      </c>
      <c r="D13" s="324">
        <v>0</v>
      </c>
      <c r="E13" s="324">
        <v>0</v>
      </c>
      <c r="F13" s="324">
        <v>0</v>
      </c>
      <c r="G13" s="324">
        <v>0</v>
      </c>
      <c r="H13" s="324">
        <v>0</v>
      </c>
      <c r="I13" s="324">
        <f t="shared" si="7"/>
        <v>0</v>
      </c>
      <c r="J13" s="318" t="e">
        <f t="shared" si="2"/>
        <v>#DIV/0!</v>
      </c>
      <c r="K13" s="319">
        <f t="shared" si="3"/>
        <v>0</v>
      </c>
      <c r="L13" s="320"/>
      <c r="M13" s="325">
        <f t="shared" si="4"/>
        <v>0</v>
      </c>
      <c r="N13" s="325">
        <f t="shared" si="5"/>
        <v>0</v>
      </c>
    </row>
    <row r="14" spans="2:14" s="323" customFormat="1" ht="15">
      <c r="B14" s="322" t="s">
        <v>331</v>
      </c>
      <c r="C14" s="316" t="s">
        <v>451</v>
      </c>
      <c r="D14" s="317">
        <f aca="true" t="shared" si="8" ref="D14:I14">+D15+D16+D17+D18+D19+D20+D21</f>
        <v>0</v>
      </c>
      <c r="E14" s="317">
        <f t="shared" si="8"/>
        <v>0</v>
      </c>
      <c r="F14" s="317">
        <f t="shared" si="8"/>
        <v>0</v>
      </c>
      <c r="G14" s="317">
        <f t="shared" si="8"/>
        <v>0</v>
      </c>
      <c r="H14" s="317">
        <f t="shared" si="8"/>
        <v>0</v>
      </c>
      <c r="I14" s="317">
        <f t="shared" si="8"/>
        <v>0</v>
      </c>
      <c r="J14" s="318" t="e">
        <f t="shared" si="2"/>
        <v>#DIV/0!</v>
      </c>
      <c r="K14" s="319">
        <f t="shared" si="3"/>
        <v>0</v>
      </c>
      <c r="L14" s="320"/>
      <c r="M14" s="325">
        <f t="shared" si="4"/>
        <v>0</v>
      </c>
      <c r="N14" s="325">
        <f t="shared" si="5"/>
        <v>0</v>
      </c>
    </row>
    <row r="15" spans="2:14" s="323" customFormat="1" ht="15">
      <c r="B15" s="322" t="s">
        <v>452</v>
      </c>
      <c r="C15" s="322" t="s">
        <v>453</v>
      </c>
      <c r="D15" s="324">
        <v>0</v>
      </c>
      <c r="E15" s="324">
        <v>0</v>
      </c>
      <c r="F15" s="324">
        <v>0</v>
      </c>
      <c r="G15" s="324">
        <v>0</v>
      </c>
      <c r="H15" s="324">
        <v>0</v>
      </c>
      <c r="I15" s="324">
        <f aca="true" t="shared" si="9" ref="I15:I21">+D15+E15-F15+G15-H15</f>
        <v>0</v>
      </c>
      <c r="J15" s="318" t="e">
        <f t="shared" si="2"/>
        <v>#DIV/0!</v>
      </c>
      <c r="K15" s="319">
        <f t="shared" si="3"/>
        <v>0</v>
      </c>
      <c r="L15" s="320"/>
      <c r="M15" s="325">
        <f t="shared" si="4"/>
        <v>0</v>
      </c>
      <c r="N15" s="325">
        <f t="shared" si="5"/>
        <v>0</v>
      </c>
    </row>
    <row r="16" spans="2:14" s="323" customFormat="1" ht="15">
      <c r="B16" s="322" t="s">
        <v>454</v>
      </c>
      <c r="C16" s="322" t="s">
        <v>455</v>
      </c>
      <c r="D16" s="324">
        <v>0</v>
      </c>
      <c r="E16" s="324">
        <v>0</v>
      </c>
      <c r="F16" s="324">
        <v>0</v>
      </c>
      <c r="G16" s="324">
        <v>0</v>
      </c>
      <c r="H16" s="324">
        <v>0</v>
      </c>
      <c r="I16" s="324">
        <f t="shared" si="9"/>
        <v>0</v>
      </c>
      <c r="J16" s="318" t="e">
        <f t="shared" si="2"/>
        <v>#DIV/0!</v>
      </c>
      <c r="K16" s="319">
        <f t="shared" si="3"/>
        <v>0</v>
      </c>
      <c r="L16" s="320"/>
      <c r="M16" s="325">
        <f t="shared" si="4"/>
        <v>0</v>
      </c>
      <c r="N16" s="325">
        <f t="shared" si="5"/>
        <v>0</v>
      </c>
    </row>
    <row r="17" spans="2:14" s="323" customFormat="1" ht="15">
      <c r="B17" s="322" t="s">
        <v>456</v>
      </c>
      <c r="C17" s="322" t="s">
        <v>457</v>
      </c>
      <c r="D17" s="324">
        <v>0</v>
      </c>
      <c r="E17" s="324">
        <v>0</v>
      </c>
      <c r="F17" s="324">
        <v>0</v>
      </c>
      <c r="G17" s="324">
        <v>0</v>
      </c>
      <c r="H17" s="324">
        <v>0</v>
      </c>
      <c r="I17" s="324">
        <f t="shared" si="9"/>
        <v>0</v>
      </c>
      <c r="J17" s="318" t="e">
        <f t="shared" si="2"/>
        <v>#DIV/0!</v>
      </c>
      <c r="K17" s="319">
        <f t="shared" si="3"/>
        <v>0</v>
      </c>
      <c r="L17" s="320"/>
      <c r="M17" s="325">
        <f t="shared" si="4"/>
        <v>0</v>
      </c>
      <c r="N17" s="325">
        <f t="shared" si="5"/>
        <v>0</v>
      </c>
    </row>
    <row r="18" spans="2:14" s="323" customFormat="1" ht="15">
      <c r="B18" s="322" t="s">
        <v>458</v>
      </c>
      <c r="C18" s="322" t="s">
        <v>459</v>
      </c>
      <c r="D18" s="324">
        <v>0</v>
      </c>
      <c r="E18" s="324">
        <v>0</v>
      </c>
      <c r="F18" s="324">
        <v>0</v>
      </c>
      <c r="G18" s="324">
        <v>0</v>
      </c>
      <c r="H18" s="324">
        <v>0</v>
      </c>
      <c r="I18" s="324">
        <f t="shared" si="9"/>
        <v>0</v>
      </c>
      <c r="J18" s="318" t="e">
        <f t="shared" si="2"/>
        <v>#DIV/0!</v>
      </c>
      <c r="K18" s="319">
        <f t="shared" si="3"/>
        <v>0</v>
      </c>
      <c r="L18" s="320"/>
      <c r="M18" s="325">
        <f t="shared" si="4"/>
        <v>0</v>
      </c>
      <c r="N18" s="325">
        <f t="shared" si="5"/>
        <v>0</v>
      </c>
    </row>
    <row r="19" spans="2:14" s="323" customFormat="1" ht="15">
      <c r="B19" s="322" t="s">
        <v>460</v>
      </c>
      <c r="C19" s="322" t="s">
        <v>461</v>
      </c>
      <c r="D19" s="324">
        <v>0</v>
      </c>
      <c r="E19" s="324">
        <v>0</v>
      </c>
      <c r="F19" s="324">
        <v>0</v>
      </c>
      <c r="G19" s="324">
        <v>0</v>
      </c>
      <c r="H19" s="324">
        <v>0</v>
      </c>
      <c r="I19" s="324">
        <f t="shared" si="9"/>
        <v>0</v>
      </c>
      <c r="J19" s="318" t="e">
        <f t="shared" si="2"/>
        <v>#DIV/0!</v>
      </c>
      <c r="K19" s="319">
        <f t="shared" si="3"/>
        <v>0</v>
      </c>
      <c r="L19" s="320"/>
      <c r="M19" s="325">
        <f t="shared" si="4"/>
        <v>0</v>
      </c>
      <c r="N19" s="325">
        <f t="shared" si="5"/>
        <v>0</v>
      </c>
    </row>
    <row r="20" spans="2:14" s="323" customFormat="1" ht="15">
      <c r="B20" s="322" t="s">
        <v>462</v>
      </c>
      <c r="C20" s="322" t="s">
        <v>463</v>
      </c>
      <c r="D20" s="324">
        <v>0</v>
      </c>
      <c r="E20" s="324">
        <v>0</v>
      </c>
      <c r="F20" s="324">
        <v>0</v>
      </c>
      <c r="G20" s="324">
        <v>0</v>
      </c>
      <c r="H20" s="324">
        <v>0</v>
      </c>
      <c r="I20" s="324">
        <f t="shared" si="9"/>
        <v>0</v>
      </c>
      <c r="J20" s="318" t="e">
        <f t="shared" si="2"/>
        <v>#DIV/0!</v>
      </c>
      <c r="K20" s="319">
        <f t="shared" si="3"/>
        <v>0</v>
      </c>
      <c r="L20" s="320"/>
      <c r="M20" s="325">
        <f t="shared" si="4"/>
        <v>0</v>
      </c>
      <c r="N20" s="325">
        <f t="shared" si="5"/>
        <v>0</v>
      </c>
    </row>
    <row r="21" spans="2:14" s="323" customFormat="1" ht="15">
      <c r="B21" s="322" t="s">
        <v>464</v>
      </c>
      <c r="C21" s="322" t="s">
        <v>465</v>
      </c>
      <c r="D21" s="324">
        <v>0</v>
      </c>
      <c r="E21" s="324">
        <v>0</v>
      </c>
      <c r="F21" s="324">
        <v>0</v>
      </c>
      <c r="G21" s="324">
        <v>0</v>
      </c>
      <c r="H21" s="324">
        <v>0</v>
      </c>
      <c r="I21" s="324">
        <f t="shared" si="9"/>
        <v>0</v>
      </c>
      <c r="J21" s="318" t="e">
        <f t="shared" si="2"/>
        <v>#DIV/0!</v>
      </c>
      <c r="K21" s="319">
        <f t="shared" si="3"/>
        <v>0</v>
      </c>
      <c r="L21" s="320"/>
      <c r="M21" s="325">
        <f t="shared" si="4"/>
        <v>0</v>
      </c>
      <c r="N21" s="325">
        <f t="shared" si="5"/>
        <v>0</v>
      </c>
    </row>
    <row r="22" spans="2:14" s="323" customFormat="1" ht="15">
      <c r="B22" s="322" t="s">
        <v>332</v>
      </c>
      <c r="C22" s="316" t="s">
        <v>398</v>
      </c>
      <c r="D22" s="317">
        <f aca="true" t="shared" si="10" ref="D22:I22">SUM(D23:D27)</f>
        <v>0</v>
      </c>
      <c r="E22" s="317">
        <f t="shared" si="10"/>
        <v>0</v>
      </c>
      <c r="F22" s="317">
        <f t="shared" si="10"/>
        <v>0</v>
      </c>
      <c r="G22" s="317">
        <f t="shared" si="10"/>
        <v>0</v>
      </c>
      <c r="H22" s="317">
        <f t="shared" si="10"/>
        <v>0</v>
      </c>
      <c r="I22" s="317">
        <f t="shared" si="10"/>
        <v>0</v>
      </c>
      <c r="J22" s="318" t="e">
        <f t="shared" si="2"/>
        <v>#DIV/0!</v>
      </c>
      <c r="K22" s="319">
        <f t="shared" si="3"/>
        <v>0</v>
      </c>
      <c r="L22" s="320"/>
      <c r="M22" s="325">
        <f t="shared" si="4"/>
        <v>0</v>
      </c>
      <c r="N22" s="325">
        <f t="shared" si="5"/>
        <v>0</v>
      </c>
    </row>
    <row r="23" spans="2:14" s="323" customFormat="1" ht="15">
      <c r="B23" s="322" t="s">
        <v>466</v>
      </c>
      <c r="C23" s="322" t="s">
        <v>1438</v>
      </c>
      <c r="D23" s="324">
        <v>0</v>
      </c>
      <c r="E23" s="324">
        <v>0</v>
      </c>
      <c r="F23" s="324">
        <v>0</v>
      </c>
      <c r="G23" s="324">
        <v>0</v>
      </c>
      <c r="H23" s="324">
        <v>0</v>
      </c>
      <c r="I23" s="324">
        <f aca="true" t="shared" si="11" ref="I23:I33">+D23+E23-F23+G23-H23</f>
        <v>0</v>
      </c>
      <c r="J23" s="318" t="e">
        <f t="shared" si="2"/>
        <v>#DIV/0!</v>
      </c>
      <c r="K23" s="319">
        <f t="shared" si="3"/>
        <v>0</v>
      </c>
      <c r="L23" s="320"/>
      <c r="M23" s="325">
        <f t="shared" si="4"/>
        <v>0</v>
      </c>
      <c r="N23" s="325">
        <f t="shared" si="5"/>
        <v>0</v>
      </c>
    </row>
    <row r="24" spans="2:14" s="323" customFormat="1" ht="15">
      <c r="B24" s="322" t="s">
        <v>467</v>
      </c>
      <c r="C24" s="322" t="s">
        <v>408</v>
      </c>
      <c r="D24" s="324">
        <v>0</v>
      </c>
      <c r="E24" s="324">
        <v>0</v>
      </c>
      <c r="F24" s="324">
        <v>0</v>
      </c>
      <c r="G24" s="324">
        <v>0</v>
      </c>
      <c r="H24" s="324">
        <v>0</v>
      </c>
      <c r="I24" s="324">
        <f t="shared" si="11"/>
        <v>0</v>
      </c>
      <c r="J24" s="318" t="e">
        <f t="shared" si="2"/>
        <v>#DIV/0!</v>
      </c>
      <c r="K24" s="319">
        <f t="shared" si="3"/>
        <v>0</v>
      </c>
      <c r="L24" s="320"/>
      <c r="M24" s="325">
        <f t="shared" si="4"/>
        <v>0</v>
      </c>
      <c r="N24" s="325">
        <f t="shared" si="5"/>
        <v>0</v>
      </c>
    </row>
    <row r="25" spans="2:14" s="323" customFormat="1" ht="30">
      <c r="B25" s="322" t="s">
        <v>468</v>
      </c>
      <c r="C25" s="322" t="s">
        <v>469</v>
      </c>
      <c r="D25" s="324">
        <v>0</v>
      </c>
      <c r="E25" s="324">
        <v>0</v>
      </c>
      <c r="F25" s="324">
        <v>0</v>
      </c>
      <c r="G25" s="324">
        <v>0</v>
      </c>
      <c r="H25" s="324">
        <v>0</v>
      </c>
      <c r="I25" s="324">
        <f t="shared" si="11"/>
        <v>0</v>
      </c>
      <c r="J25" s="318" t="e">
        <f t="shared" si="2"/>
        <v>#DIV/0!</v>
      </c>
      <c r="K25" s="319">
        <f t="shared" si="3"/>
        <v>0</v>
      </c>
      <c r="L25" s="320"/>
      <c r="M25" s="325">
        <f t="shared" si="4"/>
        <v>0</v>
      </c>
      <c r="N25" s="325">
        <f t="shared" si="5"/>
        <v>0</v>
      </c>
    </row>
    <row r="26" spans="2:14" s="323" customFormat="1" ht="15">
      <c r="B26" s="322" t="s">
        <v>333</v>
      </c>
      <c r="C26" s="322" t="s">
        <v>409</v>
      </c>
      <c r="D26" s="324">
        <v>0</v>
      </c>
      <c r="E26" s="324">
        <v>0</v>
      </c>
      <c r="F26" s="324">
        <v>0</v>
      </c>
      <c r="G26" s="324">
        <v>0</v>
      </c>
      <c r="H26" s="324">
        <v>0</v>
      </c>
      <c r="I26" s="324">
        <f>+D26+E26-F26+G26-H26</f>
        <v>0</v>
      </c>
      <c r="J26" s="318" t="e">
        <f t="shared" si="2"/>
        <v>#DIV/0!</v>
      </c>
      <c r="K26" s="319">
        <f t="shared" si="3"/>
        <v>0</v>
      </c>
      <c r="L26" s="320"/>
      <c r="M26" s="325">
        <f t="shared" si="4"/>
        <v>0</v>
      </c>
      <c r="N26" s="325">
        <f t="shared" si="5"/>
        <v>0</v>
      </c>
    </row>
    <row r="27" spans="2:14" s="323" customFormat="1" ht="15">
      <c r="B27" s="322" t="s">
        <v>470</v>
      </c>
      <c r="C27" s="322" t="s">
        <v>471</v>
      </c>
      <c r="D27" s="324">
        <v>0</v>
      </c>
      <c r="E27" s="324">
        <v>0</v>
      </c>
      <c r="F27" s="324">
        <v>0</v>
      </c>
      <c r="G27" s="324">
        <v>0</v>
      </c>
      <c r="H27" s="324">
        <v>0</v>
      </c>
      <c r="I27" s="324">
        <f t="shared" si="11"/>
        <v>0</v>
      </c>
      <c r="J27" s="318" t="e">
        <f t="shared" si="2"/>
        <v>#DIV/0!</v>
      </c>
      <c r="K27" s="319">
        <f t="shared" si="3"/>
        <v>0</v>
      </c>
      <c r="L27" s="320"/>
      <c r="M27" s="325">
        <f t="shared" si="4"/>
        <v>0</v>
      </c>
      <c r="N27" s="325">
        <f t="shared" si="5"/>
        <v>0</v>
      </c>
    </row>
    <row r="28" spans="2:14" s="323" customFormat="1" ht="15">
      <c r="B28" s="322" t="s">
        <v>334</v>
      </c>
      <c r="C28" s="322" t="s">
        <v>472</v>
      </c>
      <c r="D28" s="324">
        <v>0</v>
      </c>
      <c r="E28" s="324">
        <v>0</v>
      </c>
      <c r="F28" s="324">
        <v>0</v>
      </c>
      <c r="G28" s="324">
        <v>0</v>
      </c>
      <c r="H28" s="324">
        <v>0</v>
      </c>
      <c r="I28" s="324">
        <f t="shared" si="11"/>
        <v>0</v>
      </c>
      <c r="J28" s="318" t="e">
        <f t="shared" si="2"/>
        <v>#DIV/0!</v>
      </c>
      <c r="K28" s="319">
        <f t="shared" si="3"/>
        <v>0</v>
      </c>
      <c r="L28" s="320"/>
      <c r="M28" s="325">
        <f t="shared" si="4"/>
        <v>0</v>
      </c>
      <c r="N28" s="325">
        <f t="shared" si="5"/>
        <v>0</v>
      </c>
    </row>
    <row r="29" spans="2:14" s="323" customFormat="1" ht="15">
      <c r="B29" s="322" t="s">
        <v>473</v>
      </c>
      <c r="C29" s="322" t="s">
        <v>474</v>
      </c>
      <c r="D29" s="324">
        <v>0</v>
      </c>
      <c r="E29" s="324">
        <v>0</v>
      </c>
      <c r="F29" s="324">
        <v>0</v>
      </c>
      <c r="G29" s="324">
        <v>0</v>
      </c>
      <c r="H29" s="324">
        <v>0</v>
      </c>
      <c r="I29" s="324">
        <f t="shared" si="11"/>
        <v>0</v>
      </c>
      <c r="J29" s="318" t="e">
        <f t="shared" si="2"/>
        <v>#DIV/0!</v>
      </c>
      <c r="K29" s="319">
        <f t="shared" si="3"/>
        <v>0</v>
      </c>
      <c r="L29" s="320"/>
      <c r="M29" s="325">
        <f t="shared" si="4"/>
        <v>0</v>
      </c>
      <c r="N29" s="325">
        <f t="shared" si="5"/>
        <v>0</v>
      </c>
    </row>
    <row r="30" spans="2:14" s="323" customFormat="1" ht="30">
      <c r="B30" s="322" t="s">
        <v>475</v>
      </c>
      <c r="C30" s="322" t="s">
        <v>476</v>
      </c>
      <c r="D30" s="324">
        <v>0</v>
      </c>
      <c r="E30" s="324">
        <v>0</v>
      </c>
      <c r="F30" s="324">
        <v>0</v>
      </c>
      <c r="G30" s="324">
        <v>0</v>
      </c>
      <c r="H30" s="324">
        <v>0</v>
      </c>
      <c r="I30" s="324">
        <f t="shared" si="11"/>
        <v>0</v>
      </c>
      <c r="J30" s="318" t="e">
        <f t="shared" si="2"/>
        <v>#DIV/0!</v>
      </c>
      <c r="K30" s="319">
        <f t="shared" si="3"/>
        <v>0</v>
      </c>
      <c r="L30" s="320"/>
      <c r="M30" s="325">
        <f t="shared" si="4"/>
        <v>0</v>
      </c>
      <c r="N30" s="325">
        <f t="shared" si="5"/>
        <v>0</v>
      </c>
    </row>
    <row r="31" spans="2:14" s="323" customFormat="1" ht="30">
      <c r="B31" s="322" t="s">
        <v>477</v>
      </c>
      <c r="C31" s="322" t="s">
        <v>86</v>
      </c>
      <c r="D31" s="324">
        <v>0</v>
      </c>
      <c r="E31" s="324">
        <v>0</v>
      </c>
      <c r="F31" s="324">
        <v>0</v>
      </c>
      <c r="G31" s="324">
        <v>0</v>
      </c>
      <c r="H31" s="324">
        <v>0</v>
      </c>
      <c r="I31" s="324">
        <f t="shared" si="11"/>
        <v>0</v>
      </c>
      <c r="J31" s="318" t="e">
        <f t="shared" si="2"/>
        <v>#DIV/0!</v>
      </c>
      <c r="K31" s="319">
        <f t="shared" si="3"/>
        <v>0</v>
      </c>
      <c r="L31" s="320"/>
      <c r="M31" s="325">
        <f t="shared" si="4"/>
        <v>0</v>
      </c>
      <c r="N31" s="325">
        <f t="shared" si="5"/>
        <v>0</v>
      </c>
    </row>
    <row r="32" spans="2:14" s="323" customFormat="1" ht="30">
      <c r="B32" s="322" t="s">
        <v>478</v>
      </c>
      <c r="C32" s="322" t="s">
        <v>479</v>
      </c>
      <c r="D32" s="324">
        <v>0</v>
      </c>
      <c r="E32" s="324">
        <v>0</v>
      </c>
      <c r="F32" s="324">
        <v>0</v>
      </c>
      <c r="G32" s="324">
        <v>0</v>
      </c>
      <c r="H32" s="324">
        <v>0</v>
      </c>
      <c r="I32" s="324">
        <f t="shared" si="11"/>
        <v>0</v>
      </c>
      <c r="J32" s="318" t="e">
        <f t="shared" si="2"/>
        <v>#DIV/0!</v>
      </c>
      <c r="K32" s="319">
        <f t="shared" si="3"/>
        <v>0</v>
      </c>
      <c r="L32" s="320"/>
      <c r="M32" s="325">
        <f t="shared" si="4"/>
        <v>0</v>
      </c>
      <c r="N32" s="325">
        <f t="shared" si="5"/>
        <v>0</v>
      </c>
    </row>
    <row r="33" spans="2:14" s="323" customFormat="1" ht="15">
      <c r="B33" s="322" t="s">
        <v>480</v>
      </c>
      <c r="C33" s="322" t="s">
        <v>481</v>
      </c>
      <c r="D33" s="324">
        <v>0</v>
      </c>
      <c r="E33" s="324">
        <v>0</v>
      </c>
      <c r="F33" s="324">
        <v>0</v>
      </c>
      <c r="G33" s="324">
        <v>0</v>
      </c>
      <c r="H33" s="324">
        <v>0</v>
      </c>
      <c r="I33" s="324">
        <f t="shared" si="11"/>
        <v>0</v>
      </c>
      <c r="J33" s="318" t="e">
        <f t="shared" si="2"/>
        <v>#DIV/0!</v>
      </c>
      <c r="K33" s="319">
        <f t="shared" si="3"/>
        <v>0</v>
      </c>
      <c r="L33" s="320"/>
      <c r="M33" s="325">
        <f t="shared" si="4"/>
        <v>0</v>
      </c>
      <c r="N33" s="325">
        <f t="shared" si="5"/>
        <v>0</v>
      </c>
    </row>
    <row r="34" spans="2:14" s="323" customFormat="1" ht="15">
      <c r="B34" s="322" t="s">
        <v>335</v>
      </c>
      <c r="C34" s="316" t="s">
        <v>399</v>
      </c>
      <c r="D34" s="317">
        <f aca="true" t="shared" si="12" ref="D34:I34">+D35+D36</f>
        <v>0</v>
      </c>
      <c r="E34" s="317">
        <f t="shared" si="12"/>
        <v>0</v>
      </c>
      <c r="F34" s="317">
        <f t="shared" si="12"/>
        <v>0</v>
      </c>
      <c r="G34" s="317">
        <f t="shared" si="12"/>
        <v>0</v>
      </c>
      <c r="H34" s="317">
        <f t="shared" si="12"/>
        <v>0</v>
      </c>
      <c r="I34" s="317">
        <f t="shared" si="12"/>
        <v>0</v>
      </c>
      <c r="J34" s="318">
        <v>0</v>
      </c>
      <c r="K34" s="319">
        <f t="shared" si="3"/>
        <v>0</v>
      </c>
      <c r="L34" s="320"/>
      <c r="M34" s="325">
        <f t="shared" si="4"/>
        <v>0</v>
      </c>
      <c r="N34" s="325">
        <f t="shared" si="5"/>
        <v>0</v>
      </c>
    </row>
    <row r="35" spans="2:14" s="323" customFormat="1" ht="15">
      <c r="B35" s="322" t="s">
        <v>336</v>
      </c>
      <c r="C35" s="322" t="s">
        <v>482</v>
      </c>
      <c r="D35" s="324">
        <v>0</v>
      </c>
      <c r="E35" s="324">
        <v>0</v>
      </c>
      <c r="F35" s="324">
        <v>0</v>
      </c>
      <c r="G35" s="324">
        <v>0</v>
      </c>
      <c r="H35" s="324">
        <v>0</v>
      </c>
      <c r="I35" s="324">
        <f aca="true" t="shared" si="13" ref="I35:I42">+D35+E35-F35+G35-H35</f>
        <v>0</v>
      </c>
      <c r="J35" s="318" t="e">
        <f t="shared" si="2"/>
        <v>#DIV/0!</v>
      </c>
      <c r="K35" s="319">
        <f t="shared" si="3"/>
        <v>0</v>
      </c>
      <c r="L35" s="320"/>
      <c r="M35" s="325">
        <f t="shared" si="4"/>
        <v>0</v>
      </c>
      <c r="N35" s="325">
        <f t="shared" si="5"/>
        <v>0</v>
      </c>
    </row>
    <row r="36" spans="2:14" s="323" customFormat="1" ht="15">
      <c r="B36" s="322" t="s">
        <v>483</v>
      </c>
      <c r="C36" s="322" t="s">
        <v>484</v>
      </c>
      <c r="D36" s="324">
        <v>0</v>
      </c>
      <c r="E36" s="324">
        <v>0</v>
      </c>
      <c r="F36" s="324">
        <v>0</v>
      </c>
      <c r="G36" s="324">
        <v>0</v>
      </c>
      <c r="H36" s="324">
        <v>0</v>
      </c>
      <c r="I36" s="324">
        <f t="shared" si="13"/>
        <v>0</v>
      </c>
      <c r="J36" s="318" t="e">
        <f t="shared" si="2"/>
        <v>#DIV/0!</v>
      </c>
      <c r="K36" s="319">
        <f t="shared" si="3"/>
        <v>0</v>
      </c>
      <c r="L36" s="320"/>
      <c r="M36" s="325">
        <f t="shared" si="4"/>
        <v>0</v>
      </c>
      <c r="N36" s="325">
        <f t="shared" si="5"/>
        <v>0</v>
      </c>
    </row>
    <row r="37" spans="2:14" s="323" customFormat="1" ht="15">
      <c r="B37" s="322" t="s">
        <v>485</v>
      </c>
      <c r="C37" s="322" t="s">
        <v>486</v>
      </c>
      <c r="D37" s="324">
        <v>0</v>
      </c>
      <c r="E37" s="324">
        <v>0</v>
      </c>
      <c r="F37" s="324">
        <v>0</v>
      </c>
      <c r="G37" s="324">
        <v>0</v>
      </c>
      <c r="H37" s="324">
        <v>0</v>
      </c>
      <c r="I37" s="324">
        <f t="shared" si="13"/>
        <v>0</v>
      </c>
      <c r="J37" s="318">
        <v>0</v>
      </c>
      <c r="K37" s="319">
        <f t="shared" si="3"/>
        <v>0</v>
      </c>
      <c r="L37" s="320"/>
      <c r="M37" s="325">
        <f t="shared" si="4"/>
        <v>0</v>
      </c>
      <c r="N37" s="325">
        <f t="shared" si="5"/>
        <v>0</v>
      </c>
    </row>
    <row r="38" spans="2:14" s="323" customFormat="1" ht="15">
      <c r="B38" s="322" t="s">
        <v>487</v>
      </c>
      <c r="C38" s="322" t="s">
        <v>488</v>
      </c>
      <c r="D38" s="324">
        <v>0</v>
      </c>
      <c r="E38" s="324">
        <v>0</v>
      </c>
      <c r="F38" s="324">
        <v>0</v>
      </c>
      <c r="G38" s="324">
        <v>0</v>
      </c>
      <c r="H38" s="324">
        <v>0</v>
      </c>
      <c r="I38" s="324">
        <f t="shared" si="13"/>
        <v>0</v>
      </c>
      <c r="J38" s="318" t="e">
        <f t="shared" si="2"/>
        <v>#DIV/0!</v>
      </c>
      <c r="K38" s="319">
        <f t="shared" si="3"/>
        <v>0</v>
      </c>
      <c r="L38" s="320"/>
      <c r="M38" s="325">
        <f t="shared" si="4"/>
        <v>0</v>
      </c>
      <c r="N38" s="325">
        <f t="shared" si="5"/>
        <v>0</v>
      </c>
    </row>
    <row r="39" spans="2:14" s="323" customFormat="1" ht="15">
      <c r="B39" s="322" t="s">
        <v>489</v>
      </c>
      <c r="C39" s="322" t="s">
        <v>490</v>
      </c>
      <c r="D39" s="324">
        <v>0</v>
      </c>
      <c r="E39" s="324">
        <v>0</v>
      </c>
      <c r="F39" s="324">
        <v>0</v>
      </c>
      <c r="G39" s="324">
        <v>0</v>
      </c>
      <c r="H39" s="324">
        <v>0</v>
      </c>
      <c r="I39" s="324">
        <f t="shared" si="13"/>
        <v>0</v>
      </c>
      <c r="J39" s="318" t="e">
        <f t="shared" si="2"/>
        <v>#DIV/0!</v>
      </c>
      <c r="K39" s="319">
        <f t="shared" si="3"/>
        <v>0</v>
      </c>
      <c r="L39" s="320"/>
      <c r="M39" s="325">
        <f t="shared" si="4"/>
        <v>0</v>
      </c>
      <c r="N39" s="325">
        <f t="shared" si="5"/>
        <v>0</v>
      </c>
    </row>
    <row r="40" spans="2:14" s="323" customFormat="1" ht="15">
      <c r="B40" s="322" t="s">
        <v>491</v>
      </c>
      <c r="C40" s="322" t="s">
        <v>492</v>
      </c>
      <c r="D40" s="324">
        <v>0</v>
      </c>
      <c r="E40" s="324">
        <v>0</v>
      </c>
      <c r="F40" s="324">
        <v>0</v>
      </c>
      <c r="G40" s="324">
        <v>0</v>
      </c>
      <c r="H40" s="324">
        <v>0</v>
      </c>
      <c r="I40" s="324">
        <f t="shared" si="13"/>
        <v>0</v>
      </c>
      <c r="J40" s="318" t="e">
        <f t="shared" si="2"/>
        <v>#DIV/0!</v>
      </c>
      <c r="K40" s="319">
        <f t="shared" si="3"/>
        <v>0</v>
      </c>
      <c r="L40" s="320"/>
      <c r="M40" s="325">
        <f t="shared" si="4"/>
        <v>0</v>
      </c>
      <c r="N40" s="325">
        <f t="shared" si="5"/>
        <v>0</v>
      </c>
    </row>
    <row r="41" spans="2:14" s="323" customFormat="1" ht="15">
      <c r="B41" s="322" t="s">
        <v>493</v>
      </c>
      <c r="C41" s="322" t="s">
        <v>494</v>
      </c>
      <c r="D41" s="324">
        <v>0</v>
      </c>
      <c r="E41" s="324">
        <v>0</v>
      </c>
      <c r="F41" s="324">
        <v>0</v>
      </c>
      <c r="G41" s="324">
        <v>0</v>
      </c>
      <c r="H41" s="324">
        <v>0</v>
      </c>
      <c r="I41" s="324">
        <f t="shared" si="13"/>
        <v>0</v>
      </c>
      <c r="J41" s="318" t="e">
        <f t="shared" si="2"/>
        <v>#DIV/0!</v>
      </c>
      <c r="K41" s="319">
        <f t="shared" si="3"/>
        <v>0</v>
      </c>
      <c r="L41" s="320"/>
      <c r="M41" s="325">
        <f t="shared" si="4"/>
        <v>0</v>
      </c>
      <c r="N41" s="325">
        <f t="shared" si="5"/>
        <v>0</v>
      </c>
    </row>
    <row r="42" spans="2:14" s="323" customFormat="1" ht="15">
      <c r="B42" s="322" t="s">
        <v>495</v>
      </c>
      <c r="C42" s="322" t="s">
        <v>496</v>
      </c>
      <c r="D42" s="324">
        <v>0</v>
      </c>
      <c r="E42" s="324">
        <v>0</v>
      </c>
      <c r="F42" s="324">
        <v>0</v>
      </c>
      <c r="G42" s="324">
        <v>0</v>
      </c>
      <c r="H42" s="324">
        <v>0</v>
      </c>
      <c r="I42" s="324">
        <f t="shared" si="13"/>
        <v>0</v>
      </c>
      <c r="J42" s="318" t="e">
        <f t="shared" si="2"/>
        <v>#DIV/0!</v>
      </c>
      <c r="K42" s="319">
        <f t="shared" si="3"/>
        <v>0</v>
      </c>
      <c r="L42" s="320"/>
      <c r="M42" s="325">
        <f t="shared" si="4"/>
        <v>0</v>
      </c>
      <c r="N42" s="325">
        <f t="shared" si="5"/>
        <v>0</v>
      </c>
    </row>
    <row r="43" spans="2:14" ht="15">
      <c r="B43" s="326" t="s">
        <v>337</v>
      </c>
      <c r="C43" s="316" t="s">
        <v>87</v>
      </c>
      <c r="D43" s="317">
        <f aca="true" t="shared" si="14" ref="D43:I43">+D44+D45+D46</f>
        <v>222000000</v>
      </c>
      <c r="E43" s="317">
        <f t="shared" si="14"/>
        <v>0</v>
      </c>
      <c r="F43" s="317">
        <f t="shared" si="14"/>
        <v>0</v>
      </c>
      <c r="G43" s="317">
        <f t="shared" si="14"/>
        <v>45391500</v>
      </c>
      <c r="H43" s="317">
        <f t="shared" si="14"/>
        <v>45391500</v>
      </c>
      <c r="I43" s="317">
        <f t="shared" si="14"/>
        <v>222000000</v>
      </c>
      <c r="J43" s="318">
        <f t="shared" si="2"/>
        <v>0</v>
      </c>
      <c r="K43" s="318">
        <f t="shared" si="3"/>
        <v>0</v>
      </c>
      <c r="L43" s="327"/>
      <c r="M43" s="325">
        <f t="shared" si="4"/>
        <v>222000000</v>
      </c>
      <c r="N43" s="325">
        <f t="shared" si="5"/>
        <v>0</v>
      </c>
    </row>
    <row r="44" spans="2:14" s="323" customFormat="1" ht="15">
      <c r="B44" s="322" t="s">
        <v>338</v>
      </c>
      <c r="C44" s="322" t="s">
        <v>497</v>
      </c>
      <c r="D44" s="324">
        <v>0</v>
      </c>
      <c r="E44" s="324">
        <v>0</v>
      </c>
      <c r="F44" s="324">
        <v>0</v>
      </c>
      <c r="G44" s="324">
        <v>33891500</v>
      </c>
      <c r="H44" s="324">
        <v>33891500</v>
      </c>
      <c r="I44" s="324">
        <f>+D44+E44-F44+G44-H44</f>
        <v>0</v>
      </c>
      <c r="J44" s="318" t="e">
        <f t="shared" si="2"/>
        <v>#DIV/0!</v>
      </c>
      <c r="K44" s="319">
        <f t="shared" si="3"/>
        <v>0</v>
      </c>
      <c r="L44" s="320"/>
      <c r="M44" s="325">
        <f t="shared" si="4"/>
        <v>0</v>
      </c>
      <c r="N44" s="325">
        <f t="shared" si="5"/>
        <v>0</v>
      </c>
    </row>
    <row r="45" spans="2:14" s="323" customFormat="1" ht="15">
      <c r="B45" s="322" t="s">
        <v>339</v>
      </c>
      <c r="C45" s="322" t="s">
        <v>498</v>
      </c>
      <c r="D45" s="324">
        <v>0</v>
      </c>
      <c r="E45" s="324">
        <v>0</v>
      </c>
      <c r="F45" s="324">
        <v>0</v>
      </c>
      <c r="G45" s="324">
        <v>11500000</v>
      </c>
      <c r="H45" s="324">
        <v>11500000</v>
      </c>
      <c r="I45" s="324">
        <f>+D45+E45-F45+G45-H45</f>
        <v>0</v>
      </c>
      <c r="J45" s="318" t="e">
        <f t="shared" si="2"/>
        <v>#DIV/0!</v>
      </c>
      <c r="K45" s="319">
        <f t="shared" si="3"/>
        <v>0</v>
      </c>
      <c r="L45" s="320"/>
      <c r="M45" s="325">
        <f t="shared" si="4"/>
        <v>0</v>
      </c>
      <c r="N45" s="325">
        <f t="shared" si="5"/>
        <v>0</v>
      </c>
    </row>
    <row r="46" spans="2:14" s="323" customFormat="1" ht="15">
      <c r="B46" s="322" t="s">
        <v>499</v>
      </c>
      <c r="C46" s="322" t="s">
        <v>500</v>
      </c>
      <c r="D46" s="324">
        <v>222000000</v>
      </c>
      <c r="E46" s="324">
        <v>0</v>
      </c>
      <c r="F46" s="324">
        <v>0</v>
      </c>
      <c r="G46" s="324">
        <v>0</v>
      </c>
      <c r="H46" s="324">
        <v>0</v>
      </c>
      <c r="I46" s="324">
        <f>+D46+E46-F46+G46-H46</f>
        <v>222000000</v>
      </c>
      <c r="J46" s="318">
        <f t="shared" si="2"/>
        <v>0</v>
      </c>
      <c r="K46" s="319">
        <f t="shared" si="3"/>
        <v>0</v>
      </c>
      <c r="L46" s="320"/>
      <c r="M46" s="325">
        <f t="shared" si="4"/>
        <v>222000000</v>
      </c>
      <c r="N46" s="325">
        <f t="shared" si="5"/>
        <v>0</v>
      </c>
    </row>
    <row r="47" spans="2:14" s="323" customFormat="1" ht="15">
      <c r="B47" s="322" t="s">
        <v>501</v>
      </c>
      <c r="C47" s="322" t="s">
        <v>758</v>
      </c>
      <c r="D47" s="324">
        <v>0</v>
      </c>
      <c r="E47" s="324">
        <v>0</v>
      </c>
      <c r="F47" s="324">
        <v>0</v>
      </c>
      <c r="G47" s="324">
        <v>0</v>
      </c>
      <c r="H47" s="324">
        <v>0</v>
      </c>
      <c r="I47" s="324">
        <f>+D47+E47-F47+G47-H47</f>
        <v>0</v>
      </c>
      <c r="J47" s="318" t="e">
        <f t="shared" si="2"/>
        <v>#DIV/0!</v>
      </c>
      <c r="K47" s="319">
        <f t="shared" si="3"/>
        <v>0</v>
      </c>
      <c r="L47" s="320"/>
      <c r="M47" s="325">
        <f t="shared" si="4"/>
        <v>0</v>
      </c>
      <c r="N47" s="325">
        <f t="shared" si="5"/>
        <v>0</v>
      </c>
    </row>
    <row r="48" spans="2:14" s="323" customFormat="1" ht="15">
      <c r="B48" s="322" t="s">
        <v>502</v>
      </c>
      <c r="C48" s="322" t="s">
        <v>503</v>
      </c>
      <c r="D48" s="324">
        <v>0</v>
      </c>
      <c r="E48" s="324">
        <v>0</v>
      </c>
      <c r="F48" s="324">
        <v>0</v>
      </c>
      <c r="G48" s="324">
        <v>0</v>
      </c>
      <c r="H48" s="324">
        <v>0</v>
      </c>
      <c r="I48" s="324">
        <f>+D48+E48-F48+G48-H48</f>
        <v>0</v>
      </c>
      <c r="J48" s="318" t="e">
        <f t="shared" si="2"/>
        <v>#DIV/0!</v>
      </c>
      <c r="K48" s="319">
        <f t="shared" si="3"/>
        <v>0</v>
      </c>
      <c r="L48" s="320"/>
      <c r="M48" s="325">
        <f t="shared" si="4"/>
        <v>0</v>
      </c>
      <c r="N48" s="325">
        <f t="shared" si="5"/>
        <v>0</v>
      </c>
    </row>
    <row r="49" spans="2:14" ht="22.5" customHeight="1">
      <c r="B49" s="316" t="s">
        <v>340</v>
      </c>
      <c r="C49" s="316" t="s">
        <v>504</v>
      </c>
      <c r="D49" s="329">
        <f aca="true" t="shared" si="15" ref="D49:I49">+D50+D58</f>
        <v>0</v>
      </c>
      <c r="E49" s="329">
        <f t="shared" si="15"/>
        <v>0</v>
      </c>
      <c r="F49" s="329">
        <f t="shared" si="15"/>
        <v>0</v>
      </c>
      <c r="G49" s="329">
        <f t="shared" si="15"/>
        <v>0</v>
      </c>
      <c r="H49" s="329">
        <f t="shared" si="15"/>
        <v>0</v>
      </c>
      <c r="I49" s="329">
        <f t="shared" si="15"/>
        <v>0</v>
      </c>
      <c r="J49" s="318" t="e">
        <f t="shared" si="2"/>
        <v>#DIV/0!</v>
      </c>
      <c r="K49" s="319">
        <f t="shared" si="3"/>
        <v>0</v>
      </c>
      <c r="L49" s="320"/>
      <c r="M49" s="325">
        <f t="shared" si="4"/>
        <v>0</v>
      </c>
      <c r="N49" s="325">
        <f t="shared" si="5"/>
        <v>0</v>
      </c>
    </row>
    <row r="50" spans="2:14" ht="15">
      <c r="B50" s="316" t="s">
        <v>341</v>
      </c>
      <c r="C50" s="316" t="s">
        <v>505</v>
      </c>
      <c r="D50" s="329">
        <f>SUM(D51:D57)</f>
        <v>0</v>
      </c>
      <c r="E50" s="329">
        <f>+E51+E52+E53+E54+E55+E56+E57</f>
        <v>0</v>
      </c>
      <c r="F50" s="329">
        <f>+F51+F52+F53+F54+F55+F56+F57</f>
        <v>0</v>
      </c>
      <c r="G50" s="329">
        <f>+G51+G52+G53+G54+G55+G56+G57</f>
        <v>0</v>
      </c>
      <c r="H50" s="329">
        <f>+H51+H52+H53+H54+H55+H56+H57</f>
        <v>0</v>
      </c>
      <c r="I50" s="329">
        <f>SUM(I51:I57)</f>
        <v>0</v>
      </c>
      <c r="J50" s="318" t="e">
        <f t="shared" si="2"/>
        <v>#DIV/0!</v>
      </c>
      <c r="K50" s="319">
        <f t="shared" si="3"/>
        <v>0</v>
      </c>
      <c r="L50" s="320"/>
      <c r="M50" s="325">
        <f t="shared" si="4"/>
        <v>0</v>
      </c>
      <c r="N50" s="325">
        <f t="shared" si="5"/>
        <v>0</v>
      </c>
    </row>
    <row r="51" spans="2:14" s="323" customFormat="1" ht="30">
      <c r="B51" s="322" t="s">
        <v>506</v>
      </c>
      <c r="C51" s="322" t="s">
        <v>507</v>
      </c>
      <c r="D51" s="324">
        <v>0</v>
      </c>
      <c r="E51" s="324">
        <v>0</v>
      </c>
      <c r="F51" s="324">
        <v>0</v>
      </c>
      <c r="G51" s="324">
        <v>0</v>
      </c>
      <c r="H51" s="324">
        <v>0</v>
      </c>
      <c r="I51" s="324">
        <f aca="true" t="shared" si="16" ref="I51:I57">+D51+E51-F51+G51-H51</f>
        <v>0</v>
      </c>
      <c r="J51" s="318" t="e">
        <f t="shared" si="2"/>
        <v>#DIV/0!</v>
      </c>
      <c r="K51" s="319">
        <f t="shared" si="3"/>
        <v>0</v>
      </c>
      <c r="L51" s="320"/>
      <c r="M51" s="325">
        <f t="shared" si="4"/>
        <v>0</v>
      </c>
      <c r="N51" s="325">
        <f t="shared" si="5"/>
        <v>0</v>
      </c>
    </row>
    <row r="52" spans="2:14" s="323" customFormat="1" ht="15">
      <c r="B52" s="322" t="s">
        <v>508</v>
      </c>
      <c r="C52" s="322" t="s">
        <v>509</v>
      </c>
      <c r="D52" s="324">
        <v>0</v>
      </c>
      <c r="E52" s="324">
        <v>0</v>
      </c>
      <c r="F52" s="324">
        <v>0</v>
      </c>
      <c r="G52" s="324">
        <v>0</v>
      </c>
      <c r="H52" s="324">
        <v>0</v>
      </c>
      <c r="I52" s="324">
        <f t="shared" si="16"/>
        <v>0</v>
      </c>
      <c r="J52" s="318" t="e">
        <f t="shared" si="2"/>
        <v>#DIV/0!</v>
      </c>
      <c r="K52" s="319">
        <f t="shared" si="3"/>
        <v>0</v>
      </c>
      <c r="L52" s="320"/>
      <c r="M52" s="325">
        <f t="shared" si="4"/>
        <v>0</v>
      </c>
      <c r="N52" s="325">
        <f t="shared" si="5"/>
        <v>0</v>
      </c>
    </row>
    <row r="53" spans="2:14" s="323" customFormat="1" ht="15">
      <c r="B53" s="322" t="s">
        <v>510</v>
      </c>
      <c r="C53" s="322" t="s">
        <v>511</v>
      </c>
      <c r="D53" s="324">
        <v>0</v>
      </c>
      <c r="E53" s="324">
        <v>0</v>
      </c>
      <c r="F53" s="324">
        <v>0</v>
      </c>
      <c r="G53" s="324">
        <v>0</v>
      </c>
      <c r="H53" s="324">
        <v>0</v>
      </c>
      <c r="I53" s="324">
        <f t="shared" si="16"/>
        <v>0</v>
      </c>
      <c r="J53" s="318" t="e">
        <f t="shared" si="2"/>
        <v>#DIV/0!</v>
      </c>
      <c r="K53" s="319">
        <f t="shared" si="3"/>
        <v>0</v>
      </c>
      <c r="L53" s="320"/>
      <c r="M53" s="325">
        <f t="shared" si="4"/>
        <v>0</v>
      </c>
      <c r="N53" s="325">
        <f t="shared" si="5"/>
        <v>0</v>
      </c>
    </row>
    <row r="54" spans="2:14" s="323" customFormat="1" ht="15">
      <c r="B54" s="322" t="s">
        <v>512</v>
      </c>
      <c r="C54" s="322" t="s">
        <v>513</v>
      </c>
      <c r="D54" s="324">
        <v>0</v>
      </c>
      <c r="E54" s="324">
        <v>0</v>
      </c>
      <c r="F54" s="324">
        <v>0</v>
      </c>
      <c r="G54" s="324">
        <v>0</v>
      </c>
      <c r="H54" s="324">
        <v>0</v>
      </c>
      <c r="I54" s="324">
        <f t="shared" si="16"/>
        <v>0</v>
      </c>
      <c r="J54" s="318" t="e">
        <f t="shared" si="2"/>
        <v>#DIV/0!</v>
      </c>
      <c r="K54" s="319">
        <f t="shared" si="3"/>
        <v>0</v>
      </c>
      <c r="L54" s="320"/>
      <c r="M54" s="325">
        <f t="shared" si="4"/>
        <v>0</v>
      </c>
      <c r="N54" s="325">
        <f t="shared" si="5"/>
        <v>0</v>
      </c>
    </row>
    <row r="55" spans="2:14" s="323" customFormat="1" ht="15">
      <c r="B55" s="322" t="s">
        <v>514</v>
      </c>
      <c r="C55" s="322" t="s">
        <v>515</v>
      </c>
      <c r="D55" s="324">
        <v>0</v>
      </c>
      <c r="E55" s="324">
        <v>0</v>
      </c>
      <c r="F55" s="324">
        <v>0</v>
      </c>
      <c r="G55" s="324">
        <v>0</v>
      </c>
      <c r="H55" s="324">
        <v>0</v>
      </c>
      <c r="I55" s="324">
        <f t="shared" si="16"/>
        <v>0</v>
      </c>
      <c r="J55" s="318" t="e">
        <f t="shared" si="2"/>
        <v>#DIV/0!</v>
      </c>
      <c r="K55" s="319">
        <f t="shared" si="3"/>
        <v>0</v>
      </c>
      <c r="L55" s="320"/>
      <c r="M55" s="325">
        <f t="shared" si="4"/>
        <v>0</v>
      </c>
      <c r="N55" s="325">
        <f t="shared" si="5"/>
        <v>0</v>
      </c>
    </row>
    <row r="56" spans="2:14" s="323" customFormat="1" ht="15">
      <c r="B56" s="322" t="s">
        <v>516</v>
      </c>
      <c r="C56" s="322" t="s">
        <v>517</v>
      </c>
      <c r="D56" s="324">
        <v>0</v>
      </c>
      <c r="E56" s="324">
        <v>0</v>
      </c>
      <c r="F56" s="324">
        <v>0</v>
      </c>
      <c r="G56" s="324">
        <v>0</v>
      </c>
      <c r="H56" s="324">
        <v>0</v>
      </c>
      <c r="I56" s="324">
        <f t="shared" si="16"/>
        <v>0</v>
      </c>
      <c r="J56" s="318" t="e">
        <f t="shared" si="2"/>
        <v>#DIV/0!</v>
      </c>
      <c r="K56" s="319">
        <f t="shared" si="3"/>
        <v>0</v>
      </c>
      <c r="L56" s="320"/>
      <c r="M56" s="325">
        <f t="shared" si="4"/>
        <v>0</v>
      </c>
      <c r="N56" s="325">
        <f t="shared" si="5"/>
        <v>0</v>
      </c>
    </row>
    <row r="57" spans="2:14" s="323" customFormat="1" ht="15">
      <c r="B57" s="322" t="s">
        <v>1439</v>
      </c>
      <c r="C57" s="322" t="s">
        <v>518</v>
      </c>
      <c r="D57" s="324">
        <v>0</v>
      </c>
      <c r="E57" s="324">
        <v>0</v>
      </c>
      <c r="F57" s="324">
        <v>0</v>
      </c>
      <c r="G57" s="324">
        <v>0</v>
      </c>
      <c r="H57" s="324">
        <v>0</v>
      </c>
      <c r="I57" s="324">
        <f t="shared" si="16"/>
        <v>0</v>
      </c>
      <c r="J57" s="318" t="e">
        <f t="shared" si="2"/>
        <v>#DIV/0!</v>
      </c>
      <c r="K57" s="319">
        <f t="shared" si="3"/>
        <v>0</v>
      </c>
      <c r="L57" s="320"/>
      <c r="M57" s="325">
        <f t="shared" si="4"/>
        <v>0</v>
      </c>
      <c r="N57" s="325">
        <f t="shared" si="5"/>
        <v>0</v>
      </c>
    </row>
    <row r="58" spans="2:14" s="302" customFormat="1" ht="15">
      <c r="B58" s="316" t="s">
        <v>342</v>
      </c>
      <c r="C58" s="316" t="s">
        <v>519</v>
      </c>
      <c r="D58" s="317">
        <f>SUM(D59:D60)</f>
        <v>0</v>
      </c>
      <c r="E58" s="317">
        <f>+E59+E60</f>
        <v>0</v>
      </c>
      <c r="F58" s="317">
        <f>+F59+F60</f>
        <v>0</v>
      </c>
      <c r="G58" s="317">
        <f>+G59+G60</f>
        <v>0</v>
      </c>
      <c r="H58" s="317">
        <f>+H59+H60</f>
        <v>0</v>
      </c>
      <c r="I58" s="317">
        <f>SUM(I59:I60)</f>
        <v>0</v>
      </c>
      <c r="J58" s="318" t="e">
        <f t="shared" si="2"/>
        <v>#DIV/0!</v>
      </c>
      <c r="K58" s="318">
        <f t="shared" si="3"/>
        <v>0</v>
      </c>
      <c r="L58" s="327"/>
      <c r="M58" s="325">
        <f t="shared" si="4"/>
        <v>0</v>
      </c>
      <c r="N58" s="325">
        <f t="shared" si="5"/>
        <v>0</v>
      </c>
    </row>
    <row r="59" spans="2:14" s="323" customFormat="1" ht="15">
      <c r="B59" s="322" t="s">
        <v>520</v>
      </c>
      <c r="C59" s="322" t="s">
        <v>521</v>
      </c>
      <c r="D59" s="324">
        <v>0</v>
      </c>
      <c r="E59" s="324">
        <v>0</v>
      </c>
      <c r="F59" s="324">
        <v>0</v>
      </c>
      <c r="G59" s="324">
        <v>0</v>
      </c>
      <c r="H59" s="324">
        <v>0</v>
      </c>
      <c r="I59" s="324">
        <f>+D59+E59-F59+G59-H59</f>
        <v>0</v>
      </c>
      <c r="J59" s="318" t="e">
        <f t="shared" si="2"/>
        <v>#DIV/0!</v>
      </c>
      <c r="K59" s="319">
        <f t="shared" si="3"/>
        <v>0</v>
      </c>
      <c r="L59" s="320"/>
      <c r="M59" s="325">
        <f t="shared" si="4"/>
        <v>0</v>
      </c>
      <c r="N59" s="325">
        <f t="shared" si="5"/>
        <v>0</v>
      </c>
    </row>
    <row r="60" spans="2:14" s="323" customFormat="1" ht="15">
      <c r="B60" s="322" t="s">
        <v>522</v>
      </c>
      <c r="C60" s="322" t="s">
        <v>523</v>
      </c>
      <c r="D60" s="324">
        <v>0</v>
      </c>
      <c r="E60" s="324">
        <v>0</v>
      </c>
      <c r="F60" s="324">
        <v>0</v>
      </c>
      <c r="G60" s="324">
        <v>0</v>
      </c>
      <c r="H60" s="324">
        <v>0</v>
      </c>
      <c r="I60" s="324">
        <f>+D60+E60-F60+G60-H60</f>
        <v>0</v>
      </c>
      <c r="J60" s="318" t="e">
        <f t="shared" si="2"/>
        <v>#DIV/0!</v>
      </c>
      <c r="K60" s="319">
        <f t="shared" si="3"/>
        <v>0</v>
      </c>
      <c r="L60" s="320"/>
      <c r="M60" s="325">
        <f t="shared" si="4"/>
        <v>0</v>
      </c>
      <c r="N60" s="325">
        <f t="shared" si="5"/>
        <v>0</v>
      </c>
    </row>
    <row r="61" spans="2:14" s="302" customFormat="1" ht="15">
      <c r="B61" s="316" t="s">
        <v>343</v>
      </c>
      <c r="C61" s="316" t="s">
        <v>524</v>
      </c>
      <c r="D61" s="317">
        <f aca="true" t="shared" si="17" ref="D61:I61">+D62+D76+D99+D109+D120+D129+D131</f>
        <v>4037281332</v>
      </c>
      <c r="E61" s="317">
        <f t="shared" si="17"/>
        <v>23521173</v>
      </c>
      <c r="F61" s="317">
        <f t="shared" si="17"/>
        <v>23521173</v>
      </c>
      <c r="G61" s="317">
        <f t="shared" si="17"/>
        <v>6051568744</v>
      </c>
      <c r="H61" s="317">
        <f t="shared" si="17"/>
        <v>3941346564</v>
      </c>
      <c r="I61" s="317">
        <f t="shared" si="17"/>
        <v>6147503512</v>
      </c>
      <c r="J61" s="318">
        <f t="shared" si="2"/>
        <v>52.26839564719241</v>
      </c>
      <c r="K61" s="319">
        <f t="shared" si="3"/>
        <v>2110222180</v>
      </c>
      <c r="L61" s="320"/>
      <c r="M61" s="325">
        <f t="shared" si="4"/>
        <v>6147503512</v>
      </c>
      <c r="N61" s="325">
        <f t="shared" si="5"/>
        <v>0</v>
      </c>
    </row>
    <row r="62" spans="2:14" s="302" customFormat="1" ht="15">
      <c r="B62" s="316" t="s">
        <v>344</v>
      </c>
      <c r="C62" s="316" t="s">
        <v>88</v>
      </c>
      <c r="D62" s="317">
        <f aca="true" t="shared" si="18" ref="D62:I62">+D63+D64+D65+D66+D67+D68+D69+D70+D71+D72+D73+D74+D75</f>
        <v>230838250</v>
      </c>
      <c r="E62" s="317">
        <f t="shared" si="18"/>
        <v>0</v>
      </c>
      <c r="F62" s="317">
        <f t="shared" si="18"/>
        <v>0</v>
      </c>
      <c r="G62" s="317">
        <f t="shared" si="18"/>
        <v>0</v>
      </c>
      <c r="H62" s="317">
        <f t="shared" si="18"/>
        <v>0</v>
      </c>
      <c r="I62" s="317">
        <f t="shared" si="18"/>
        <v>230838250</v>
      </c>
      <c r="J62" s="318">
        <f t="shared" si="2"/>
        <v>0</v>
      </c>
      <c r="K62" s="319">
        <f t="shared" si="3"/>
        <v>0</v>
      </c>
      <c r="L62" s="320"/>
      <c r="M62" s="325">
        <f t="shared" si="4"/>
        <v>230838250</v>
      </c>
      <c r="N62" s="325">
        <f t="shared" si="5"/>
        <v>0</v>
      </c>
    </row>
    <row r="63" spans="2:14" s="323" customFormat="1" ht="15">
      <c r="B63" s="322" t="s">
        <v>345</v>
      </c>
      <c r="C63" s="330" t="s">
        <v>525</v>
      </c>
      <c r="D63" s="324">
        <v>0</v>
      </c>
      <c r="E63" s="324">
        <v>0</v>
      </c>
      <c r="F63" s="324">
        <v>0</v>
      </c>
      <c r="G63" s="324">
        <v>0</v>
      </c>
      <c r="H63" s="324">
        <v>0</v>
      </c>
      <c r="I63" s="324">
        <f aca="true" t="shared" si="19" ref="I63:I75">+D63+E63-F63+G63-H63</f>
        <v>0</v>
      </c>
      <c r="J63" s="318" t="e">
        <f t="shared" si="2"/>
        <v>#DIV/0!</v>
      </c>
      <c r="K63" s="319">
        <f t="shared" si="3"/>
        <v>0</v>
      </c>
      <c r="L63" s="320"/>
      <c r="M63" s="325">
        <f t="shared" si="4"/>
        <v>0</v>
      </c>
      <c r="N63" s="325">
        <f t="shared" si="5"/>
        <v>0</v>
      </c>
    </row>
    <row r="64" spans="2:14" s="323" customFormat="1" ht="15">
      <c r="B64" s="322" t="s">
        <v>526</v>
      </c>
      <c r="C64" s="330" t="s">
        <v>527</v>
      </c>
      <c r="D64" s="324">
        <v>0</v>
      </c>
      <c r="E64" s="324">
        <v>0</v>
      </c>
      <c r="F64" s="324">
        <v>0</v>
      </c>
      <c r="G64" s="324">
        <v>0</v>
      </c>
      <c r="H64" s="324">
        <v>0</v>
      </c>
      <c r="I64" s="324">
        <f t="shared" si="19"/>
        <v>0</v>
      </c>
      <c r="J64" s="318" t="e">
        <f t="shared" si="2"/>
        <v>#DIV/0!</v>
      </c>
      <c r="K64" s="319">
        <f t="shared" si="3"/>
        <v>0</v>
      </c>
      <c r="L64" s="320"/>
      <c r="M64" s="325">
        <f t="shared" si="4"/>
        <v>0</v>
      </c>
      <c r="N64" s="325">
        <f t="shared" si="5"/>
        <v>0</v>
      </c>
    </row>
    <row r="65" spans="2:14" s="323" customFormat="1" ht="15">
      <c r="B65" s="322" t="s">
        <v>528</v>
      </c>
      <c r="C65" s="330" t="s">
        <v>529</v>
      </c>
      <c r="D65" s="324">
        <v>0</v>
      </c>
      <c r="E65" s="324">
        <v>0</v>
      </c>
      <c r="F65" s="324">
        <v>0</v>
      </c>
      <c r="G65" s="324">
        <v>0</v>
      </c>
      <c r="H65" s="324">
        <v>0</v>
      </c>
      <c r="I65" s="324">
        <f t="shared" si="19"/>
        <v>0</v>
      </c>
      <c r="J65" s="318" t="e">
        <f t="shared" si="2"/>
        <v>#DIV/0!</v>
      </c>
      <c r="K65" s="319">
        <f t="shared" si="3"/>
        <v>0</v>
      </c>
      <c r="L65" s="320"/>
      <c r="M65" s="325">
        <f t="shared" si="4"/>
        <v>0</v>
      </c>
      <c r="N65" s="325">
        <f t="shared" si="5"/>
        <v>0</v>
      </c>
    </row>
    <row r="66" spans="2:14" s="323" customFormat="1" ht="15">
      <c r="B66" s="322" t="s">
        <v>530</v>
      </c>
      <c r="C66" s="330" t="s">
        <v>531</v>
      </c>
      <c r="D66" s="324">
        <v>0</v>
      </c>
      <c r="E66" s="324">
        <v>0</v>
      </c>
      <c r="F66" s="324">
        <v>0</v>
      </c>
      <c r="G66" s="324">
        <v>0</v>
      </c>
      <c r="H66" s="324">
        <v>0</v>
      </c>
      <c r="I66" s="324">
        <f t="shared" si="19"/>
        <v>0</v>
      </c>
      <c r="J66" s="318" t="e">
        <f t="shared" si="2"/>
        <v>#DIV/0!</v>
      </c>
      <c r="K66" s="319">
        <f t="shared" si="3"/>
        <v>0</v>
      </c>
      <c r="L66" s="320"/>
      <c r="M66" s="325">
        <f t="shared" si="4"/>
        <v>0</v>
      </c>
      <c r="N66" s="325">
        <f t="shared" si="5"/>
        <v>0</v>
      </c>
    </row>
    <row r="67" spans="2:14" s="323" customFormat="1" ht="15">
      <c r="B67" s="322" t="s">
        <v>532</v>
      </c>
      <c r="C67" s="330" t="s">
        <v>533</v>
      </c>
      <c r="D67" s="324">
        <v>0</v>
      </c>
      <c r="E67" s="324">
        <v>0</v>
      </c>
      <c r="F67" s="324">
        <v>0</v>
      </c>
      <c r="G67" s="324">
        <v>0</v>
      </c>
      <c r="H67" s="324">
        <v>0</v>
      </c>
      <c r="I67" s="324">
        <f t="shared" si="19"/>
        <v>0</v>
      </c>
      <c r="J67" s="318" t="e">
        <f t="shared" si="2"/>
        <v>#DIV/0!</v>
      </c>
      <c r="K67" s="319">
        <f t="shared" si="3"/>
        <v>0</v>
      </c>
      <c r="L67" s="320"/>
      <c r="M67" s="325">
        <f t="shared" si="4"/>
        <v>0</v>
      </c>
      <c r="N67" s="325">
        <f t="shared" si="5"/>
        <v>0</v>
      </c>
    </row>
    <row r="68" spans="2:14" s="323" customFormat="1" ht="15">
      <c r="B68" s="322" t="s">
        <v>534</v>
      </c>
      <c r="C68" s="330" t="s">
        <v>535</v>
      </c>
      <c r="D68" s="324">
        <v>0</v>
      </c>
      <c r="E68" s="324">
        <v>0</v>
      </c>
      <c r="F68" s="324">
        <v>0</v>
      </c>
      <c r="G68" s="324">
        <v>0</v>
      </c>
      <c r="H68" s="324">
        <v>0</v>
      </c>
      <c r="I68" s="324">
        <f t="shared" si="19"/>
        <v>0</v>
      </c>
      <c r="J68" s="318" t="e">
        <f t="shared" si="2"/>
        <v>#DIV/0!</v>
      </c>
      <c r="K68" s="319">
        <f t="shared" si="3"/>
        <v>0</v>
      </c>
      <c r="L68" s="320"/>
      <c r="M68" s="325">
        <f t="shared" si="4"/>
        <v>0</v>
      </c>
      <c r="N68" s="325">
        <f t="shared" si="5"/>
        <v>0</v>
      </c>
    </row>
    <row r="69" spans="2:14" s="323" customFormat="1" ht="15">
      <c r="B69" s="322" t="s">
        <v>536</v>
      </c>
      <c r="C69" s="330" t="s">
        <v>537</v>
      </c>
      <c r="D69" s="324">
        <v>0</v>
      </c>
      <c r="E69" s="324">
        <v>0</v>
      </c>
      <c r="F69" s="324">
        <v>0</v>
      </c>
      <c r="G69" s="324">
        <v>0</v>
      </c>
      <c r="H69" s="324">
        <v>0</v>
      </c>
      <c r="I69" s="324">
        <f t="shared" si="19"/>
        <v>0</v>
      </c>
      <c r="J69" s="318" t="e">
        <f t="shared" si="2"/>
        <v>#DIV/0!</v>
      </c>
      <c r="K69" s="319">
        <f t="shared" si="3"/>
        <v>0</v>
      </c>
      <c r="L69" s="320"/>
      <c r="M69" s="325">
        <f t="shared" si="4"/>
        <v>0</v>
      </c>
      <c r="N69" s="325">
        <f t="shared" si="5"/>
        <v>0</v>
      </c>
    </row>
    <row r="70" spans="2:14" s="323" customFormat="1" ht="15">
      <c r="B70" s="322" t="s">
        <v>538</v>
      </c>
      <c r="C70" s="330" t="s">
        <v>539</v>
      </c>
      <c r="D70" s="324">
        <v>0</v>
      </c>
      <c r="E70" s="324">
        <v>0</v>
      </c>
      <c r="F70" s="324">
        <v>0</v>
      </c>
      <c r="G70" s="324">
        <v>0</v>
      </c>
      <c r="H70" s="324">
        <v>0</v>
      </c>
      <c r="I70" s="324">
        <f t="shared" si="19"/>
        <v>0</v>
      </c>
      <c r="J70" s="318" t="e">
        <f aca="true" t="shared" si="20" ref="J70:J136">(I70-D70)/D70*100</f>
        <v>#DIV/0!</v>
      </c>
      <c r="K70" s="319">
        <f aca="true" t="shared" si="21" ref="K70:K136">I70-D70</f>
        <v>0</v>
      </c>
      <c r="L70" s="320"/>
      <c r="M70" s="325">
        <f aca="true" t="shared" si="22" ref="M70:M133">D70+E70-F70+G70-H70</f>
        <v>0</v>
      </c>
      <c r="N70" s="325">
        <f aca="true" t="shared" si="23" ref="N70:N133">I70-M70</f>
        <v>0</v>
      </c>
    </row>
    <row r="71" spans="2:14" s="323" customFormat="1" ht="15">
      <c r="B71" s="322" t="s">
        <v>540</v>
      </c>
      <c r="C71" s="330" t="s">
        <v>541</v>
      </c>
      <c r="D71" s="324">
        <v>0</v>
      </c>
      <c r="E71" s="324">
        <v>0</v>
      </c>
      <c r="F71" s="324">
        <v>0</v>
      </c>
      <c r="G71" s="324">
        <v>0</v>
      </c>
      <c r="H71" s="324">
        <v>0</v>
      </c>
      <c r="I71" s="324">
        <f t="shared" si="19"/>
        <v>0</v>
      </c>
      <c r="J71" s="318" t="e">
        <f t="shared" si="20"/>
        <v>#DIV/0!</v>
      </c>
      <c r="K71" s="319">
        <f t="shared" si="21"/>
        <v>0</v>
      </c>
      <c r="L71" s="320"/>
      <c r="M71" s="325">
        <f t="shared" si="22"/>
        <v>0</v>
      </c>
      <c r="N71" s="325">
        <f t="shared" si="23"/>
        <v>0</v>
      </c>
    </row>
    <row r="72" spans="2:14" s="323" customFormat="1" ht="15">
      <c r="B72" s="322" t="s">
        <v>542</v>
      </c>
      <c r="C72" s="330" t="s">
        <v>543</v>
      </c>
      <c r="D72" s="324">
        <v>0</v>
      </c>
      <c r="E72" s="324">
        <v>0</v>
      </c>
      <c r="F72" s="324">
        <v>0</v>
      </c>
      <c r="G72" s="324">
        <v>0</v>
      </c>
      <c r="H72" s="324">
        <v>0</v>
      </c>
      <c r="I72" s="324">
        <f t="shared" si="19"/>
        <v>0</v>
      </c>
      <c r="J72" s="318" t="e">
        <f t="shared" si="20"/>
        <v>#DIV/0!</v>
      </c>
      <c r="K72" s="319">
        <f t="shared" si="21"/>
        <v>0</v>
      </c>
      <c r="L72" s="320"/>
      <c r="M72" s="325">
        <f t="shared" si="22"/>
        <v>0</v>
      </c>
      <c r="N72" s="325">
        <f t="shared" si="23"/>
        <v>0</v>
      </c>
    </row>
    <row r="73" spans="2:14" s="323" customFormat="1" ht="15">
      <c r="B73" s="322" t="s">
        <v>544</v>
      </c>
      <c r="C73" s="330" t="s">
        <v>545</v>
      </c>
      <c r="D73" s="324">
        <v>230838250</v>
      </c>
      <c r="E73" s="324">
        <v>0</v>
      </c>
      <c r="F73" s="324">
        <v>0</v>
      </c>
      <c r="G73" s="324">
        <v>0</v>
      </c>
      <c r="H73" s="324">
        <v>0</v>
      </c>
      <c r="I73" s="324">
        <f t="shared" si="19"/>
        <v>230838250</v>
      </c>
      <c r="J73" s="318">
        <f t="shared" si="20"/>
        <v>0</v>
      </c>
      <c r="K73" s="319">
        <f t="shared" si="21"/>
        <v>0</v>
      </c>
      <c r="L73" s="320"/>
      <c r="M73" s="325">
        <f t="shared" si="22"/>
        <v>230838250</v>
      </c>
      <c r="N73" s="325">
        <f t="shared" si="23"/>
        <v>0</v>
      </c>
    </row>
    <row r="74" spans="2:14" s="323" customFormat="1" ht="15">
      <c r="B74" s="322" t="s">
        <v>546</v>
      </c>
      <c r="C74" s="330" t="s">
        <v>547</v>
      </c>
      <c r="D74" s="324">
        <v>0</v>
      </c>
      <c r="E74" s="324">
        <v>0</v>
      </c>
      <c r="F74" s="324">
        <v>0</v>
      </c>
      <c r="G74" s="324">
        <v>0</v>
      </c>
      <c r="H74" s="324">
        <v>0</v>
      </c>
      <c r="I74" s="324">
        <f t="shared" si="19"/>
        <v>0</v>
      </c>
      <c r="J74" s="318" t="e">
        <f t="shared" si="20"/>
        <v>#DIV/0!</v>
      </c>
      <c r="K74" s="319">
        <f t="shared" si="21"/>
        <v>0</v>
      </c>
      <c r="L74" s="320"/>
      <c r="M74" s="325">
        <f t="shared" si="22"/>
        <v>0</v>
      </c>
      <c r="N74" s="325">
        <f t="shared" si="23"/>
        <v>0</v>
      </c>
    </row>
    <row r="75" spans="2:14" s="323" customFormat="1" ht="15">
      <c r="B75" s="322" t="s">
        <v>548</v>
      </c>
      <c r="C75" s="330" t="s">
        <v>549</v>
      </c>
      <c r="D75" s="324">
        <v>0</v>
      </c>
      <c r="E75" s="324">
        <v>0</v>
      </c>
      <c r="F75" s="324">
        <v>0</v>
      </c>
      <c r="G75" s="324">
        <v>0</v>
      </c>
      <c r="H75" s="324">
        <v>0</v>
      </c>
      <c r="I75" s="324">
        <f t="shared" si="19"/>
        <v>0</v>
      </c>
      <c r="J75" s="318" t="e">
        <f t="shared" si="20"/>
        <v>#DIV/0!</v>
      </c>
      <c r="K75" s="319">
        <f t="shared" si="21"/>
        <v>0</v>
      </c>
      <c r="L75" s="320"/>
      <c r="M75" s="325">
        <f t="shared" si="22"/>
        <v>0</v>
      </c>
      <c r="N75" s="325">
        <f t="shared" si="23"/>
        <v>0</v>
      </c>
    </row>
    <row r="76" spans="2:14" s="302" customFormat="1" ht="15">
      <c r="B76" s="316" t="s">
        <v>346</v>
      </c>
      <c r="C76" s="316" t="s">
        <v>89</v>
      </c>
      <c r="D76" s="317">
        <f aca="true" t="shared" si="24" ref="D76:I76">SUM(D77:D98)</f>
        <v>999487126</v>
      </c>
      <c r="E76" s="317">
        <f t="shared" si="24"/>
        <v>6167173</v>
      </c>
      <c r="F76" s="317">
        <f t="shared" si="24"/>
        <v>23521173</v>
      </c>
      <c r="G76" s="317">
        <f t="shared" si="24"/>
        <v>414513660</v>
      </c>
      <c r="H76" s="317">
        <f t="shared" si="24"/>
        <v>104100000</v>
      </c>
      <c r="I76" s="317">
        <f t="shared" si="24"/>
        <v>1292546786</v>
      </c>
      <c r="J76" s="318">
        <f t="shared" si="20"/>
        <v>29.321003980595545</v>
      </c>
      <c r="K76" s="319">
        <f t="shared" si="21"/>
        <v>293059660</v>
      </c>
      <c r="L76" s="320"/>
      <c r="M76" s="325">
        <f t="shared" si="22"/>
        <v>1292546786</v>
      </c>
      <c r="N76" s="325">
        <f t="shared" si="23"/>
        <v>0</v>
      </c>
    </row>
    <row r="77" spans="2:14" s="323" customFormat="1" ht="15">
      <c r="B77" s="322" t="s">
        <v>347</v>
      </c>
      <c r="C77" s="322" t="s">
        <v>550</v>
      </c>
      <c r="D77" s="324">
        <v>0</v>
      </c>
      <c r="E77" s="324">
        <v>0</v>
      </c>
      <c r="F77" s="324">
        <v>0</v>
      </c>
      <c r="G77" s="324">
        <v>0</v>
      </c>
      <c r="H77" s="324">
        <v>0</v>
      </c>
      <c r="I77" s="324">
        <f aca="true" t="shared" si="25" ref="I77:I92">+D77+E77-F77+G77-H77</f>
        <v>0</v>
      </c>
      <c r="J77" s="318" t="e">
        <f t="shared" si="20"/>
        <v>#DIV/0!</v>
      </c>
      <c r="K77" s="319">
        <f t="shared" si="21"/>
        <v>0</v>
      </c>
      <c r="L77" s="320"/>
      <c r="M77" s="325">
        <f t="shared" si="22"/>
        <v>0</v>
      </c>
      <c r="N77" s="325">
        <f t="shared" si="23"/>
        <v>0</v>
      </c>
    </row>
    <row r="78" spans="2:14" s="323" customFormat="1" ht="15">
      <c r="B78" s="322" t="s">
        <v>348</v>
      </c>
      <c r="C78" s="322" t="s">
        <v>551</v>
      </c>
      <c r="D78" s="324">
        <v>10285000</v>
      </c>
      <c r="E78" s="324">
        <v>0</v>
      </c>
      <c r="F78" s="324">
        <v>0</v>
      </c>
      <c r="G78" s="324">
        <v>0</v>
      </c>
      <c r="H78" s="324">
        <v>0</v>
      </c>
      <c r="I78" s="324">
        <f t="shared" si="25"/>
        <v>10285000</v>
      </c>
      <c r="J78" s="318">
        <f t="shared" si="20"/>
        <v>0</v>
      </c>
      <c r="K78" s="319">
        <f t="shared" si="21"/>
        <v>0</v>
      </c>
      <c r="L78" s="320"/>
      <c r="M78" s="325">
        <f t="shared" si="22"/>
        <v>10285000</v>
      </c>
      <c r="N78" s="325">
        <f t="shared" si="23"/>
        <v>0</v>
      </c>
    </row>
    <row r="79" spans="2:14" s="323" customFormat="1" ht="15">
      <c r="B79" s="322" t="s">
        <v>349</v>
      </c>
      <c r="C79" s="322" t="s">
        <v>552</v>
      </c>
      <c r="D79" s="324">
        <v>539348910</v>
      </c>
      <c r="E79" s="324">
        <v>0</v>
      </c>
      <c r="F79" s="324">
        <v>0</v>
      </c>
      <c r="G79" s="324">
        <v>224227500</v>
      </c>
      <c r="H79" s="324">
        <v>104100000</v>
      </c>
      <c r="I79" s="324">
        <f t="shared" si="25"/>
        <v>659476410</v>
      </c>
      <c r="J79" s="318">
        <f t="shared" si="20"/>
        <v>22.27268800821346</v>
      </c>
      <c r="K79" s="319">
        <f t="shared" si="21"/>
        <v>120127500</v>
      </c>
      <c r="L79" s="320"/>
      <c r="M79" s="325">
        <f t="shared" si="22"/>
        <v>659476410</v>
      </c>
      <c r="N79" s="325">
        <f t="shared" si="23"/>
        <v>0</v>
      </c>
    </row>
    <row r="80" spans="2:14" s="323" customFormat="1" ht="15">
      <c r="B80" s="322" t="s">
        <v>553</v>
      </c>
      <c r="C80" s="322" t="s">
        <v>554</v>
      </c>
      <c r="D80" s="324">
        <v>0</v>
      </c>
      <c r="E80" s="324">
        <v>0</v>
      </c>
      <c r="F80" s="324">
        <v>0</v>
      </c>
      <c r="G80" s="324">
        <v>0</v>
      </c>
      <c r="H80" s="324">
        <v>0</v>
      </c>
      <c r="I80" s="324">
        <f t="shared" si="25"/>
        <v>0</v>
      </c>
      <c r="J80" s="318" t="e">
        <f t="shared" si="20"/>
        <v>#DIV/0!</v>
      </c>
      <c r="K80" s="319">
        <f t="shared" si="21"/>
        <v>0</v>
      </c>
      <c r="L80" s="320"/>
      <c r="M80" s="325">
        <f t="shared" si="22"/>
        <v>0</v>
      </c>
      <c r="N80" s="325">
        <f t="shared" si="23"/>
        <v>0</v>
      </c>
    </row>
    <row r="81" spans="2:14" s="323" customFormat="1" ht="15">
      <c r="B81" s="322" t="s">
        <v>555</v>
      </c>
      <c r="C81" s="322" t="s">
        <v>556</v>
      </c>
      <c r="D81" s="324">
        <v>0</v>
      </c>
      <c r="E81" s="324">
        <v>0</v>
      </c>
      <c r="F81" s="324">
        <v>0</v>
      </c>
      <c r="G81" s="324">
        <v>0</v>
      </c>
      <c r="H81" s="324">
        <v>0</v>
      </c>
      <c r="I81" s="324">
        <f t="shared" si="25"/>
        <v>0</v>
      </c>
      <c r="J81" s="318" t="e">
        <f t="shared" si="20"/>
        <v>#DIV/0!</v>
      </c>
      <c r="K81" s="319">
        <f t="shared" si="21"/>
        <v>0</v>
      </c>
      <c r="L81" s="320"/>
      <c r="M81" s="325">
        <f t="shared" si="22"/>
        <v>0</v>
      </c>
      <c r="N81" s="325">
        <f t="shared" si="23"/>
        <v>0</v>
      </c>
    </row>
    <row r="82" spans="2:14" s="323" customFormat="1" ht="15">
      <c r="B82" s="322" t="s">
        <v>350</v>
      </c>
      <c r="C82" s="322" t="s">
        <v>557</v>
      </c>
      <c r="D82" s="324">
        <v>20751666</v>
      </c>
      <c r="E82" s="324">
        <v>0</v>
      </c>
      <c r="F82" s="324">
        <v>17354000</v>
      </c>
      <c r="G82" s="324">
        <v>31709000</v>
      </c>
      <c r="H82" s="324">
        <v>0</v>
      </c>
      <c r="I82" s="324">
        <f t="shared" si="25"/>
        <v>35106666</v>
      </c>
      <c r="J82" s="318">
        <f t="shared" si="20"/>
        <v>69.17516887559775</v>
      </c>
      <c r="K82" s="319">
        <f t="shared" si="21"/>
        <v>14355000</v>
      </c>
      <c r="L82" s="320"/>
      <c r="M82" s="325">
        <f t="shared" si="22"/>
        <v>35106666</v>
      </c>
      <c r="N82" s="325">
        <f t="shared" si="23"/>
        <v>0</v>
      </c>
    </row>
    <row r="83" spans="2:14" s="323" customFormat="1" ht="15">
      <c r="B83" s="322" t="s">
        <v>351</v>
      </c>
      <c r="C83" s="322" t="s">
        <v>558</v>
      </c>
      <c r="D83" s="324">
        <v>222679400</v>
      </c>
      <c r="E83" s="324">
        <v>0</v>
      </c>
      <c r="F83" s="324">
        <v>0</v>
      </c>
      <c r="G83" s="324">
        <v>61308000</v>
      </c>
      <c r="H83" s="324">
        <v>0</v>
      </c>
      <c r="I83" s="324">
        <f t="shared" si="25"/>
        <v>283987400</v>
      </c>
      <c r="J83" s="318">
        <f t="shared" si="20"/>
        <v>27.5319585017743</v>
      </c>
      <c r="K83" s="319">
        <f t="shared" si="21"/>
        <v>61308000</v>
      </c>
      <c r="L83" s="320"/>
      <c r="M83" s="325">
        <f t="shared" si="22"/>
        <v>283987400</v>
      </c>
      <c r="N83" s="325">
        <f t="shared" si="23"/>
        <v>0</v>
      </c>
    </row>
    <row r="84" spans="2:14" s="323" customFormat="1" ht="15">
      <c r="B84" s="322" t="s">
        <v>352</v>
      </c>
      <c r="C84" s="322" t="s">
        <v>559</v>
      </c>
      <c r="D84" s="324">
        <v>143467259</v>
      </c>
      <c r="E84" s="324">
        <v>0</v>
      </c>
      <c r="F84" s="324">
        <v>6167173</v>
      </c>
      <c r="G84" s="324">
        <v>80839160</v>
      </c>
      <c r="H84" s="324">
        <v>0</v>
      </c>
      <c r="I84" s="324">
        <f t="shared" si="25"/>
        <v>218139246</v>
      </c>
      <c r="J84" s="318">
        <f t="shared" si="20"/>
        <v>52.04810318429517</v>
      </c>
      <c r="K84" s="319">
        <f t="shared" si="21"/>
        <v>74671987</v>
      </c>
      <c r="L84" s="320"/>
      <c r="M84" s="325">
        <f t="shared" si="22"/>
        <v>218139246</v>
      </c>
      <c r="N84" s="325">
        <f t="shared" si="23"/>
        <v>0</v>
      </c>
    </row>
    <row r="85" spans="2:14" s="323" customFormat="1" ht="15">
      <c r="B85" s="322" t="s">
        <v>353</v>
      </c>
      <c r="C85" s="322" t="s">
        <v>560</v>
      </c>
      <c r="D85" s="324">
        <v>29413000</v>
      </c>
      <c r="E85" s="324">
        <v>0</v>
      </c>
      <c r="F85" s="324">
        <v>0</v>
      </c>
      <c r="G85" s="324">
        <v>0</v>
      </c>
      <c r="H85" s="324">
        <v>0</v>
      </c>
      <c r="I85" s="324">
        <f t="shared" si="25"/>
        <v>29413000</v>
      </c>
      <c r="J85" s="318">
        <f t="shared" si="20"/>
        <v>0</v>
      </c>
      <c r="K85" s="319">
        <f t="shared" si="21"/>
        <v>0</v>
      </c>
      <c r="L85" s="320"/>
      <c r="M85" s="325">
        <f t="shared" si="22"/>
        <v>29413000</v>
      </c>
      <c r="N85" s="325">
        <f t="shared" si="23"/>
        <v>0</v>
      </c>
    </row>
    <row r="86" spans="2:14" s="323" customFormat="1" ht="15">
      <c r="B86" s="322" t="s">
        <v>354</v>
      </c>
      <c r="C86" s="322" t="s">
        <v>561</v>
      </c>
      <c r="D86" s="324">
        <v>22086891</v>
      </c>
      <c r="E86" s="324">
        <v>6167173</v>
      </c>
      <c r="F86" s="324">
        <v>0</v>
      </c>
      <c r="G86" s="324">
        <v>16430000</v>
      </c>
      <c r="H86" s="324">
        <v>0</v>
      </c>
      <c r="I86" s="324">
        <f t="shared" si="25"/>
        <v>44684064</v>
      </c>
      <c r="J86" s="318">
        <f t="shared" si="20"/>
        <v>102.31033874346554</v>
      </c>
      <c r="K86" s="319">
        <f t="shared" si="21"/>
        <v>22597173</v>
      </c>
      <c r="L86" s="320"/>
      <c r="M86" s="325">
        <f t="shared" si="22"/>
        <v>44684064</v>
      </c>
      <c r="N86" s="325">
        <f t="shared" si="23"/>
        <v>0</v>
      </c>
    </row>
    <row r="87" spans="2:14" s="323" customFormat="1" ht="15">
      <c r="B87" s="322" t="s">
        <v>355</v>
      </c>
      <c r="C87" s="322" t="s">
        <v>562</v>
      </c>
      <c r="D87" s="324">
        <v>11455000</v>
      </c>
      <c r="E87" s="324">
        <v>0</v>
      </c>
      <c r="F87" s="324">
        <v>0</v>
      </c>
      <c r="G87" s="324">
        <v>0</v>
      </c>
      <c r="H87" s="324">
        <v>0</v>
      </c>
      <c r="I87" s="324">
        <f t="shared" si="25"/>
        <v>11455000</v>
      </c>
      <c r="J87" s="318">
        <f t="shared" si="20"/>
        <v>0</v>
      </c>
      <c r="K87" s="319">
        <f t="shared" si="21"/>
        <v>0</v>
      </c>
      <c r="L87" s="320"/>
      <c r="M87" s="325">
        <f t="shared" si="22"/>
        <v>11455000</v>
      </c>
      <c r="N87" s="325">
        <f t="shared" si="23"/>
        <v>0</v>
      </c>
    </row>
    <row r="88" spans="2:14" s="323" customFormat="1" ht="15">
      <c r="B88" s="322" t="s">
        <v>356</v>
      </c>
      <c r="C88" s="322" t="s">
        <v>563</v>
      </c>
      <c r="D88" s="324">
        <v>0</v>
      </c>
      <c r="E88" s="324">
        <v>0</v>
      </c>
      <c r="F88" s="324">
        <v>0</v>
      </c>
      <c r="G88" s="324">
        <v>0</v>
      </c>
      <c r="H88" s="324">
        <v>0</v>
      </c>
      <c r="I88" s="324">
        <f t="shared" si="25"/>
        <v>0</v>
      </c>
      <c r="J88" s="318" t="e">
        <f t="shared" si="20"/>
        <v>#DIV/0!</v>
      </c>
      <c r="K88" s="319">
        <f t="shared" si="21"/>
        <v>0</v>
      </c>
      <c r="L88" s="320"/>
      <c r="M88" s="325">
        <f t="shared" si="22"/>
        <v>0</v>
      </c>
      <c r="N88" s="325">
        <f t="shared" si="23"/>
        <v>0</v>
      </c>
    </row>
    <row r="89" spans="2:14" s="323" customFormat="1" ht="15">
      <c r="B89" s="322" t="s">
        <v>357</v>
      </c>
      <c r="C89" s="322" t="s">
        <v>564</v>
      </c>
      <c r="D89" s="324">
        <v>0</v>
      </c>
      <c r="E89" s="324">
        <v>0</v>
      </c>
      <c r="F89" s="324">
        <v>0</v>
      </c>
      <c r="G89" s="324">
        <v>0</v>
      </c>
      <c r="H89" s="324">
        <v>0</v>
      </c>
      <c r="I89" s="324">
        <f t="shared" si="25"/>
        <v>0</v>
      </c>
      <c r="J89" s="318" t="e">
        <f t="shared" si="20"/>
        <v>#DIV/0!</v>
      </c>
      <c r="K89" s="319">
        <f t="shared" si="21"/>
        <v>0</v>
      </c>
      <c r="L89" s="320"/>
      <c r="M89" s="325">
        <f t="shared" si="22"/>
        <v>0</v>
      </c>
      <c r="N89" s="325">
        <f t="shared" si="23"/>
        <v>0</v>
      </c>
    </row>
    <row r="90" spans="2:14" s="323" customFormat="1" ht="15">
      <c r="B90" s="322" t="s">
        <v>358</v>
      </c>
      <c r="C90" s="322" t="s">
        <v>565</v>
      </c>
      <c r="D90" s="324">
        <v>0</v>
      </c>
      <c r="E90" s="324">
        <v>0</v>
      </c>
      <c r="F90" s="324">
        <v>0</v>
      </c>
      <c r="G90" s="324">
        <v>0</v>
      </c>
      <c r="H90" s="324">
        <v>0</v>
      </c>
      <c r="I90" s="324">
        <f t="shared" si="25"/>
        <v>0</v>
      </c>
      <c r="J90" s="318" t="e">
        <f t="shared" si="20"/>
        <v>#DIV/0!</v>
      </c>
      <c r="K90" s="319">
        <f t="shared" si="21"/>
        <v>0</v>
      </c>
      <c r="L90" s="320"/>
      <c r="M90" s="325">
        <f t="shared" si="22"/>
        <v>0</v>
      </c>
      <c r="N90" s="325">
        <f t="shared" si="23"/>
        <v>0</v>
      </c>
    </row>
    <row r="91" spans="2:14" s="323" customFormat="1" ht="15">
      <c r="B91" s="322" t="s">
        <v>359</v>
      </c>
      <c r="C91" s="322" t="s">
        <v>566</v>
      </c>
      <c r="D91" s="324">
        <v>0</v>
      </c>
      <c r="E91" s="324">
        <v>0</v>
      </c>
      <c r="F91" s="324">
        <v>0</v>
      </c>
      <c r="G91" s="324">
        <v>0</v>
      </c>
      <c r="H91" s="324">
        <v>0</v>
      </c>
      <c r="I91" s="324">
        <f t="shared" si="25"/>
        <v>0</v>
      </c>
      <c r="J91" s="318" t="e">
        <f t="shared" si="20"/>
        <v>#DIV/0!</v>
      </c>
      <c r="K91" s="319">
        <f t="shared" si="21"/>
        <v>0</v>
      </c>
      <c r="L91" s="320"/>
      <c r="M91" s="325">
        <f t="shared" si="22"/>
        <v>0</v>
      </c>
      <c r="N91" s="325">
        <f t="shared" si="23"/>
        <v>0</v>
      </c>
    </row>
    <row r="92" spans="2:14" s="323" customFormat="1" ht="15">
      <c r="B92" s="322" t="s">
        <v>567</v>
      </c>
      <c r="C92" s="322" t="s">
        <v>568</v>
      </c>
      <c r="D92" s="324">
        <v>0</v>
      </c>
      <c r="E92" s="324">
        <v>0</v>
      </c>
      <c r="F92" s="324">
        <v>0</v>
      </c>
      <c r="G92" s="324">
        <v>0</v>
      </c>
      <c r="H92" s="324">
        <v>0</v>
      </c>
      <c r="I92" s="324">
        <f t="shared" si="25"/>
        <v>0</v>
      </c>
      <c r="J92" s="318" t="e">
        <f t="shared" si="20"/>
        <v>#DIV/0!</v>
      </c>
      <c r="K92" s="319">
        <f t="shared" si="21"/>
        <v>0</v>
      </c>
      <c r="L92" s="320"/>
      <c r="M92" s="325">
        <f t="shared" si="22"/>
        <v>0</v>
      </c>
      <c r="N92" s="325">
        <f t="shared" si="23"/>
        <v>0</v>
      </c>
    </row>
    <row r="93" spans="2:14" s="323" customFormat="1" ht="15">
      <c r="B93" s="331" t="s">
        <v>1440</v>
      </c>
      <c r="C93" s="331" t="s">
        <v>1441</v>
      </c>
      <c r="D93" s="324">
        <v>0</v>
      </c>
      <c r="E93" s="324">
        <v>0</v>
      </c>
      <c r="F93" s="324">
        <v>0</v>
      </c>
      <c r="G93" s="324">
        <v>0</v>
      </c>
      <c r="H93" s="324">
        <v>0</v>
      </c>
      <c r="I93" s="324">
        <f aca="true" t="shared" si="26" ref="I93:I98">+D93+E93-F93+G93-H93</f>
        <v>0</v>
      </c>
      <c r="J93" s="318" t="e">
        <f>(I93-D93)/D93*100</f>
        <v>#DIV/0!</v>
      </c>
      <c r="K93" s="319">
        <f>I93-D93</f>
        <v>0</v>
      </c>
      <c r="L93" s="320"/>
      <c r="M93" s="325">
        <f t="shared" si="22"/>
        <v>0</v>
      </c>
      <c r="N93" s="325">
        <f t="shared" si="23"/>
        <v>0</v>
      </c>
    </row>
    <row r="94" spans="2:14" s="323" customFormat="1" ht="30">
      <c r="B94" s="331" t="s">
        <v>1442</v>
      </c>
      <c r="C94" s="331" t="s">
        <v>1443</v>
      </c>
      <c r="D94" s="324">
        <v>0</v>
      </c>
      <c r="E94" s="324">
        <v>0</v>
      </c>
      <c r="F94" s="324">
        <v>0</v>
      </c>
      <c r="G94" s="324">
        <v>0</v>
      </c>
      <c r="H94" s="324">
        <v>0</v>
      </c>
      <c r="I94" s="324">
        <f t="shared" si="26"/>
        <v>0</v>
      </c>
      <c r="J94" s="318" t="e">
        <f>(I94-D94)/D94*100</f>
        <v>#DIV/0!</v>
      </c>
      <c r="K94" s="319">
        <f>I94-D94</f>
        <v>0</v>
      </c>
      <c r="L94" s="320"/>
      <c r="M94" s="325">
        <f t="shared" si="22"/>
        <v>0</v>
      </c>
      <c r="N94" s="325">
        <f t="shared" si="23"/>
        <v>0</v>
      </c>
    </row>
    <row r="95" spans="2:14" s="323" customFormat="1" ht="30">
      <c r="B95" s="331" t="s">
        <v>1444</v>
      </c>
      <c r="C95" s="331" t="s">
        <v>1445</v>
      </c>
      <c r="D95" s="324">
        <v>0</v>
      </c>
      <c r="E95" s="324">
        <v>0</v>
      </c>
      <c r="F95" s="324">
        <v>0</v>
      </c>
      <c r="G95" s="324">
        <v>0</v>
      </c>
      <c r="H95" s="324">
        <v>0</v>
      </c>
      <c r="I95" s="324">
        <f t="shared" si="26"/>
        <v>0</v>
      </c>
      <c r="J95" s="318" t="e">
        <f>(I95-D95)/D95*100</f>
        <v>#DIV/0!</v>
      </c>
      <c r="K95" s="319">
        <f>I95-D95</f>
        <v>0</v>
      </c>
      <c r="L95" s="320"/>
      <c r="M95" s="325">
        <f t="shared" si="22"/>
        <v>0</v>
      </c>
      <c r="N95" s="325">
        <f t="shared" si="23"/>
        <v>0</v>
      </c>
    </row>
    <row r="96" spans="2:14" s="323" customFormat="1" ht="30">
      <c r="B96" s="331" t="s">
        <v>1446</v>
      </c>
      <c r="C96" s="331" t="s">
        <v>1447</v>
      </c>
      <c r="D96" s="324">
        <v>0</v>
      </c>
      <c r="E96" s="324">
        <v>0</v>
      </c>
      <c r="F96" s="324">
        <v>0</v>
      </c>
      <c r="G96" s="324">
        <v>0</v>
      </c>
      <c r="H96" s="324">
        <v>0</v>
      </c>
      <c r="I96" s="324">
        <f t="shared" si="26"/>
        <v>0</v>
      </c>
      <c r="J96" s="318" t="e">
        <f>(I96-D96)/D96*100</f>
        <v>#DIV/0!</v>
      </c>
      <c r="K96" s="319">
        <f>I96-D96</f>
        <v>0</v>
      </c>
      <c r="L96" s="320"/>
      <c r="M96" s="325">
        <f t="shared" si="22"/>
        <v>0</v>
      </c>
      <c r="N96" s="325">
        <f t="shared" si="23"/>
        <v>0</v>
      </c>
    </row>
    <row r="97" spans="2:14" s="323" customFormat="1" ht="15">
      <c r="B97" s="322" t="s">
        <v>569</v>
      </c>
      <c r="C97" s="322" t="s">
        <v>570</v>
      </c>
      <c r="D97" s="324">
        <v>0</v>
      </c>
      <c r="E97" s="324">
        <v>0</v>
      </c>
      <c r="F97" s="324">
        <v>0</v>
      </c>
      <c r="G97" s="324">
        <v>0</v>
      </c>
      <c r="H97" s="324">
        <v>0</v>
      </c>
      <c r="I97" s="324">
        <f t="shared" si="26"/>
        <v>0</v>
      </c>
      <c r="J97" s="318" t="e">
        <f t="shared" si="20"/>
        <v>#DIV/0!</v>
      </c>
      <c r="K97" s="319">
        <f t="shared" si="21"/>
        <v>0</v>
      </c>
      <c r="L97" s="320"/>
      <c r="M97" s="325">
        <f t="shared" si="22"/>
        <v>0</v>
      </c>
      <c r="N97" s="325">
        <f t="shared" si="23"/>
        <v>0</v>
      </c>
    </row>
    <row r="98" spans="2:14" s="323" customFormat="1" ht="15">
      <c r="B98" s="322" t="s">
        <v>571</v>
      </c>
      <c r="C98" s="322" t="s">
        <v>572</v>
      </c>
      <c r="D98" s="324">
        <v>0</v>
      </c>
      <c r="E98" s="324">
        <v>0</v>
      </c>
      <c r="F98" s="324">
        <v>0</v>
      </c>
      <c r="G98" s="324">
        <v>0</v>
      </c>
      <c r="H98" s="324">
        <v>0</v>
      </c>
      <c r="I98" s="324">
        <f t="shared" si="26"/>
        <v>0</v>
      </c>
      <c r="J98" s="318">
        <v>0</v>
      </c>
      <c r="K98" s="319">
        <f t="shared" si="21"/>
        <v>0</v>
      </c>
      <c r="L98" s="320"/>
      <c r="M98" s="325">
        <f t="shared" si="22"/>
        <v>0</v>
      </c>
      <c r="N98" s="325">
        <f t="shared" si="23"/>
        <v>0</v>
      </c>
    </row>
    <row r="99" spans="2:14" s="302" customFormat="1" ht="15">
      <c r="B99" s="316" t="s">
        <v>360</v>
      </c>
      <c r="C99" s="316" t="s">
        <v>90</v>
      </c>
      <c r="D99" s="317">
        <f>+D100+D101+D102+D103+D104+D105+D106+D107+D108</f>
        <v>2377374350</v>
      </c>
      <c r="E99" s="317">
        <f aca="true" t="shared" si="27" ref="E99:K99">+E100+E101+E102+E103+E104+E105+E106+E107+E108</f>
        <v>17354000</v>
      </c>
      <c r="F99" s="317">
        <f t="shared" si="27"/>
        <v>0</v>
      </c>
      <c r="G99" s="317">
        <f t="shared" si="27"/>
        <v>0</v>
      </c>
      <c r="H99" s="317">
        <f t="shared" si="27"/>
        <v>0</v>
      </c>
      <c r="I99" s="317">
        <f t="shared" si="27"/>
        <v>2394728350</v>
      </c>
      <c r="J99" s="318">
        <f t="shared" si="20"/>
        <v>0.7299649716503419</v>
      </c>
      <c r="K99" s="318">
        <f t="shared" si="27"/>
        <v>17354000</v>
      </c>
      <c r="L99" s="332"/>
      <c r="M99" s="325">
        <f t="shared" si="22"/>
        <v>2394728350</v>
      </c>
      <c r="N99" s="325">
        <f t="shared" si="23"/>
        <v>0</v>
      </c>
    </row>
    <row r="100" spans="2:14" s="323" customFormat="1" ht="15">
      <c r="B100" s="322" t="s">
        <v>361</v>
      </c>
      <c r="C100" s="322" t="s">
        <v>573</v>
      </c>
      <c r="D100" s="324">
        <v>2115788350</v>
      </c>
      <c r="E100" s="324">
        <v>17354000</v>
      </c>
      <c r="F100" s="324">
        <v>0</v>
      </c>
      <c r="G100" s="324">
        <v>0</v>
      </c>
      <c r="H100" s="324">
        <v>0</v>
      </c>
      <c r="I100" s="324">
        <f aca="true" t="shared" si="28" ref="I100:I108">+D100+E100-F100+G100-H100</f>
        <v>2133142350</v>
      </c>
      <c r="J100" s="318">
        <f t="shared" si="20"/>
        <v>0.8202143659596197</v>
      </c>
      <c r="K100" s="319">
        <f t="shared" si="21"/>
        <v>17354000</v>
      </c>
      <c r="L100" s="320"/>
      <c r="M100" s="325">
        <f t="shared" si="22"/>
        <v>2133142350</v>
      </c>
      <c r="N100" s="325">
        <f t="shared" si="23"/>
        <v>0</v>
      </c>
    </row>
    <row r="101" spans="2:14" s="323" customFormat="1" ht="15">
      <c r="B101" s="322" t="s">
        <v>362</v>
      </c>
      <c r="C101" s="322" t="s">
        <v>574</v>
      </c>
      <c r="D101" s="324">
        <v>261586000</v>
      </c>
      <c r="E101" s="324">
        <v>0</v>
      </c>
      <c r="F101" s="324">
        <v>0</v>
      </c>
      <c r="G101" s="324">
        <v>0</v>
      </c>
      <c r="H101" s="324">
        <v>0</v>
      </c>
      <c r="I101" s="324">
        <f t="shared" si="28"/>
        <v>261586000</v>
      </c>
      <c r="J101" s="318">
        <f t="shared" si="20"/>
        <v>0</v>
      </c>
      <c r="K101" s="319">
        <f t="shared" si="21"/>
        <v>0</v>
      </c>
      <c r="L101" s="320"/>
      <c r="M101" s="325">
        <f t="shared" si="22"/>
        <v>261586000</v>
      </c>
      <c r="N101" s="325">
        <f t="shared" si="23"/>
        <v>0</v>
      </c>
    </row>
    <row r="102" spans="2:14" s="323" customFormat="1" ht="15">
      <c r="B102" s="322" t="s">
        <v>575</v>
      </c>
      <c r="C102" s="322" t="s">
        <v>576</v>
      </c>
      <c r="D102" s="324">
        <v>0</v>
      </c>
      <c r="E102" s="324">
        <v>0</v>
      </c>
      <c r="F102" s="324">
        <v>0</v>
      </c>
      <c r="G102" s="324">
        <v>0</v>
      </c>
      <c r="H102" s="324">
        <v>0</v>
      </c>
      <c r="I102" s="324">
        <f t="shared" si="28"/>
        <v>0</v>
      </c>
      <c r="J102" s="318" t="e">
        <f t="shared" si="20"/>
        <v>#DIV/0!</v>
      </c>
      <c r="K102" s="319">
        <f t="shared" si="21"/>
        <v>0</v>
      </c>
      <c r="L102" s="320"/>
      <c r="M102" s="325">
        <f t="shared" si="22"/>
        <v>0</v>
      </c>
      <c r="N102" s="325">
        <f t="shared" si="23"/>
        <v>0</v>
      </c>
    </row>
    <row r="103" spans="2:14" s="323" customFormat="1" ht="15">
      <c r="B103" s="322" t="s">
        <v>577</v>
      </c>
      <c r="C103" s="322" t="s">
        <v>578</v>
      </c>
      <c r="D103" s="324">
        <v>0</v>
      </c>
      <c r="E103" s="324">
        <v>0</v>
      </c>
      <c r="F103" s="324">
        <v>0</v>
      </c>
      <c r="G103" s="324">
        <v>0</v>
      </c>
      <c r="H103" s="324">
        <v>0</v>
      </c>
      <c r="I103" s="324">
        <f t="shared" si="28"/>
        <v>0</v>
      </c>
      <c r="J103" s="318" t="e">
        <f t="shared" si="20"/>
        <v>#DIV/0!</v>
      </c>
      <c r="K103" s="319">
        <f t="shared" si="21"/>
        <v>0</v>
      </c>
      <c r="L103" s="320"/>
      <c r="M103" s="325">
        <f t="shared" si="22"/>
        <v>0</v>
      </c>
      <c r="N103" s="325">
        <f t="shared" si="23"/>
        <v>0</v>
      </c>
    </row>
    <row r="104" spans="2:14" s="323" customFormat="1" ht="15">
      <c r="B104" s="322" t="s">
        <v>579</v>
      </c>
      <c r="C104" s="322" t="s">
        <v>580</v>
      </c>
      <c r="D104" s="324">
        <v>0</v>
      </c>
      <c r="E104" s="324">
        <v>0</v>
      </c>
      <c r="F104" s="324">
        <v>0</v>
      </c>
      <c r="G104" s="324">
        <v>0</v>
      </c>
      <c r="H104" s="324">
        <v>0</v>
      </c>
      <c r="I104" s="324">
        <f t="shared" si="28"/>
        <v>0</v>
      </c>
      <c r="J104" s="318" t="e">
        <f t="shared" si="20"/>
        <v>#DIV/0!</v>
      </c>
      <c r="K104" s="319">
        <f t="shared" si="21"/>
        <v>0</v>
      </c>
      <c r="L104" s="320"/>
      <c r="M104" s="325">
        <f t="shared" si="22"/>
        <v>0</v>
      </c>
      <c r="N104" s="325">
        <f t="shared" si="23"/>
        <v>0</v>
      </c>
    </row>
    <row r="105" spans="2:14" s="323" customFormat="1" ht="15">
      <c r="B105" s="322" t="s">
        <v>581</v>
      </c>
      <c r="C105" s="322" t="s">
        <v>582</v>
      </c>
      <c r="D105" s="324">
        <v>0</v>
      </c>
      <c r="E105" s="324">
        <v>0</v>
      </c>
      <c r="F105" s="324">
        <v>0</v>
      </c>
      <c r="G105" s="324">
        <v>0</v>
      </c>
      <c r="H105" s="324">
        <v>0</v>
      </c>
      <c r="I105" s="324">
        <f t="shared" si="28"/>
        <v>0</v>
      </c>
      <c r="J105" s="318" t="e">
        <f t="shared" si="20"/>
        <v>#DIV/0!</v>
      </c>
      <c r="K105" s="319">
        <f t="shared" si="21"/>
        <v>0</v>
      </c>
      <c r="L105" s="320"/>
      <c r="M105" s="325">
        <f t="shared" si="22"/>
        <v>0</v>
      </c>
      <c r="N105" s="325">
        <f t="shared" si="23"/>
        <v>0</v>
      </c>
    </row>
    <row r="106" spans="2:14" s="323" customFormat="1" ht="15">
      <c r="B106" s="322" t="s">
        <v>583</v>
      </c>
      <c r="C106" s="322" t="s">
        <v>584</v>
      </c>
      <c r="D106" s="324">
        <v>0</v>
      </c>
      <c r="E106" s="324">
        <v>0</v>
      </c>
      <c r="F106" s="324">
        <v>0</v>
      </c>
      <c r="G106" s="324">
        <v>0</v>
      </c>
      <c r="H106" s="324">
        <v>0</v>
      </c>
      <c r="I106" s="324">
        <f t="shared" si="28"/>
        <v>0</v>
      </c>
      <c r="J106" s="318" t="e">
        <f t="shared" si="20"/>
        <v>#DIV/0!</v>
      </c>
      <c r="K106" s="319">
        <f t="shared" si="21"/>
        <v>0</v>
      </c>
      <c r="L106" s="320"/>
      <c r="M106" s="325">
        <f t="shared" si="22"/>
        <v>0</v>
      </c>
      <c r="N106" s="325">
        <f t="shared" si="23"/>
        <v>0</v>
      </c>
    </row>
    <row r="107" spans="2:14" s="323" customFormat="1" ht="15">
      <c r="B107" s="322" t="s">
        <v>585</v>
      </c>
      <c r="C107" s="322" t="s">
        <v>776</v>
      </c>
      <c r="D107" s="324">
        <v>0</v>
      </c>
      <c r="E107" s="324">
        <v>0</v>
      </c>
      <c r="F107" s="324">
        <v>0</v>
      </c>
      <c r="G107" s="324">
        <v>0</v>
      </c>
      <c r="H107" s="324">
        <v>0</v>
      </c>
      <c r="I107" s="324">
        <f t="shared" si="28"/>
        <v>0</v>
      </c>
      <c r="J107" s="318" t="e">
        <f t="shared" si="20"/>
        <v>#DIV/0!</v>
      </c>
      <c r="K107" s="319">
        <f t="shared" si="21"/>
        <v>0</v>
      </c>
      <c r="L107" s="320"/>
      <c r="M107" s="325">
        <f t="shared" si="22"/>
        <v>0</v>
      </c>
      <c r="N107" s="325">
        <f t="shared" si="23"/>
        <v>0</v>
      </c>
    </row>
    <row r="108" spans="2:14" s="323" customFormat="1" ht="15">
      <c r="B108" s="322" t="s">
        <v>586</v>
      </c>
      <c r="C108" s="322" t="s">
        <v>587</v>
      </c>
      <c r="D108" s="324">
        <v>0</v>
      </c>
      <c r="E108" s="324">
        <v>0</v>
      </c>
      <c r="F108" s="324">
        <v>0</v>
      </c>
      <c r="G108" s="324">
        <v>0</v>
      </c>
      <c r="H108" s="324">
        <v>0</v>
      </c>
      <c r="I108" s="324">
        <f t="shared" si="28"/>
        <v>0</v>
      </c>
      <c r="J108" s="318" t="e">
        <f t="shared" si="20"/>
        <v>#DIV/0!</v>
      </c>
      <c r="K108" s="319">
        <f t="shared" si="21"/>
        <v>0</v>
      </c>
      <c r="L108" s="320"/>
      <c r="M108" s="325">
        <f t="shared" si="22"/>
        <v>0</v>
      </c>
      <c r="N108" s="325">
        <f t="shared" si="23"/>
        <v>0</v>
      </c>
    </row>
    <row r="109" spans="2:14" s="302" customFormat="1" ht="15">
      <c r="B109" s="316" t="s">
        <v>363</v>
      </c>
      <c r="C109" s="316" t="s">
        <v>588</v>
      </c>
      <c r="D109" s="317">
        <f>SUM(D110:D119)</f>
        <v>4885308050</v>
      </c>
      <c r="E109" s="317">
        <f>SUM(E110:E119)</f>
        <v>0</v>
      </c>
      <c r="F109" s="317">
        <f>SUM(F110:F119)</f>
        <v>0</v>
      </c>
      <c r="G109" s="317">
        <f>SUM(G110:G119)</f>
        <v>6066669600</v>
      </c>
      <c r="H109" s="317">
        <f>SUM(H110:H119)</f>
        <v>3941346564</v>
      </c>
      <c r="I109" s="317">
        <f>D109+E109-F109+G109-H109</f>
        <v>7010631086</v>
      </c>
      <c r="J109" s="318">
        <f t="shared" si="20"/>
        <v>43.504381182267515</v>
      </c>
      <c r="K109" s="319">
        <f t="shared" si="21"/>
        <v>2125323036</v>
      </c>
      <c r="L109" s="320"/>
      <c r="M109" s="325">
        <f t="shared" si="22"/>
        <v>7010631086</v>
      </c>
      <c r="N109" s="325">
        <f t="shared" si="23"/>
        <v>0</v>
      </c>
    </row>
    <row r="110" spans="2:14" s="323" customFormat="1" ht="15">
      <c r="B110" s="322" t="s">
        <v>589</v>
      </c>
      <c r="C110" s="322" t="s">
        <v>237</v>
      </c>
      <c r="D110" s="324">
        <v>3834895500</v>
      </c>
      <c r="E110" s="324">
        <v>0</v>
      </c>
      <c r="F110" s="324">
        <v>0</v>
      </c>
      <c r="G110" s="324">
        <v>5921076600</v>
      </c>
      <c r="H110" s="324">
        <v>3941346564</v>
      </c>
      <c r="I110" s="324">
        <f aca="true" t="shared" si="29" ref="I110:I119">+D110+E110-F110+G110-H110</f>
        <v>5814625536</v>
      </c>
      <c r="J110" s="318">
        <f t="shared" si="20"/>
        <v>51.62409343357596</v>
      </c>
      <c r="K110" s="319">
        <f t="shared" si="21"/>
        <v>1979730036</v>
      </c>
      <c r="L110" s="320"/>
      <c r="M110" s="325">
        <f t="shared" si="22"/>
        <v>5814625536</v>
      </c>
      <c r="N110" s="325">
        <f t="shared" si="23"/>
        <v>0</v>
      </c>
    </row>
    <row r="111" spans="2:14" s="323" customFormat="1" ht="15">
      <c r="B111" s="322" t="s">
        <v>364</v>
      </c>
      <c r="C111" s="322" t="s">
        <v>239</v>
      </c>
      <c r="D111" s="324">
        <v>23750000</v>
      </c>
      <c r="E111" s="324">
        <v>0</v>
      </c>
      <c r="F111" s="324">
        <v>0</v>
      </c>
      <c r="G111" s="324">
        <v>0</v>
      </c>
      <c r="H111" s="324">
        <v>0</v>
      </c>
      <c r="I111" s="324">
        <f t="shared" si="29"/>
        <v>23750000</v>
      </c>
      <c r="J111" s="318">
        <f t="shared" si="20"/>
        <v>0</v>
      </c>
      <c r="K111" s="319">
        <f t="shared" si="21"/>
        <v>0</v>
      </c>
      <c r="L111" s="320"/>
      <c r="M111" s="325">
        <f t="shared" si="22"/>
        <v>23750000</v>
      </c>
      <c r="N111" s="325">
        <f t="shared" si="23"/>
        <v>0</v>
      </c>
    </row>
    <row r="112" spans="2:14" s="323" customFormat="1" ht="15">
      <c r="B112" s="322" t="s">
        <v>590</v>
      </c>
      <c r="C112" s="322" t="s">
        <v>591</v>
      </c>
      <c r="D112" s="324">
        <v>0</v>
      </c>
      <c r="E112" s="324">
        <v>0</v>
      </c>
      <c r="F112" s="324">
        <v>0</v>
      </c>
      <c r="G112" s="324">
        <v>0</v>
      </c>
      <c r="H112" s="324">
        <v>0</v>
      </c>
      <c r="I112" s="324">
        <f t="shared" si="29"/>
        <v>0</v>
      </c>
      <c r="J112" s="318" t="e">
        <f t="shared" si="20"/>
        <v>#DIV/0!</v>
      </c>
      <c r="K112" s="319">
        <f t="shared" si="21"/>
        <v>0</v>
      </c>
      <c r="L112" s="320"/>
      <c r="M112" s="325">
        <f t="shared" si="22"/>
        <v>0</v>
      </c>
      <c r="N112" s="325">
        <f t="shared" si="23"/>
        <v>0</v>
      </c>
    </row>
    <row r="113" spans="2:14" s="323" customFormat="1" ht="30">
      <c r="B113" s="322" t="s">
        <v>592</v>
      </c>
      <c r="C113" s="322" t="s">
        <v>593</v>
      </c>
      <c r="D113" s="324">
        <v>49793000</v>
      </c>
      <c r="E113" s="324">
        <v>0</v>
      </c>
      <c r="F113" s="324">
        <v>0</v>
      </c>
      <c r="G113" s="324">
        <v>145593000</v>
      </c>
      <c r="H113" s="324">
        <v>0</v>
      </c>
      <c r="I113" s="324">
        <f t="shared" si="29"/>
        <v>195386000</v>
      </c>
      <c r="J113" s="318">
        <f t="shared" si="20"/>
        <v>292.39652159942165</v>
      </c>
      <c r="K113" s="319">
        <f t="shared" si="21"/>
        <v>145593000</v>
      </c>
      <c r="L113" s="320"/>
      <c r="M113" s="325">
        <f t="shared" si="22"/>
        <v>195386000</v>
      </c>
      <c r="N113" s="325">
        <f t="shared" si="23"/>
        <v>0</v>
      </c>
    </row>
    <row r="114" spans="2:14" s="323" customFormat="1" ht="30">
      <c r="B114" s="322" t="s">
        <v>594</v>
      </c>
      <c r="C114" s="322" t="s">
        <v>595</v>
      </c>
      <c r="D114" s="324">
        <v>0</v>
      </c>
      <c r="E114" s="324">
        <v>0</v>
      </c>
      <c r="F114" s="324">
        <v>0</v>
      </c>
      <c r="G114" s="324">
        <v>0</v>
      </c>
      <c r="H114" s="324">
        <v>0</v>
      </c>
      <c r="I114" s="324">
        <f t="shared" si="29"/>
        <v>0</v>
      </c>
      <c r="J114" s="318" t="e">
        <f t="shared" si="20"/>
        <v>#DIV/0!</v>
      </c>
      <c r="K114" s="319">
        <f t="shared" si="21"/>
        <v>0</v>
      </c>
      <c r="L114" s="320"/>
      <c r="M114" s="325">
        <f t="shared" si="22"/>
        <v>0</v>
      </c>
      <c r="N114" s="325">
        <f t="shared" si="23"/>
        <v>0</v>
      </c>
    </row>
    <row r="115" spans="2:14" s="323" customFormat="1" ht="15">
      <c r="B115" s="322" t="s">
        <v>596</v>
      </c>
      <c r="C115" s="322" t="s">
        <v>597</v>
      </c>
      <c r="D115" s="324">
        <v>274710000</v>
      </c>
      <c r="E115" s="324">
        <v>0</v>
      </c>
      <c r="F115" s="324">
        <v>0</v>
      </c>
      <c r="G115" s="324">
        <v>0</v>
      </c>
      <c r="H115" s="324">
        <v>0</v>
      </c>
      <c r="I115" s="324">
        <f t="shared" si="29"/>
        <v>274710000</v>
      </c>
      <c r="J115" s="318">
        <f t="shared" si="20"/>
        <v>0</v>
      </c>
      <c r="K115" s="319">
        <f t="shared" si="21"/>
        <v>0</v>
      </c>
      <c r="L115" s="320"/>
      <c r="M115" s="325">
        <f t="shared" si="22"/>
        <v>274710000</v>
      </c>
      <c r="N115" s="325">
        <f t="shared" si="23"/>
        <v>0</v>
      </c>
    </row>
    <row r="116" spans="2:14" s="323" customFormat="1" ht="15">
      <c r="B116" s="322" t="s">
        <v>598</v>
      </c>
      <c r="C116" s="322" t="s">
        <v>599</v>
      </c>
      <c r="D116" s="324">
        <v>195667000</v>
      </c>
      <c r="E116" s="324">
        <v>0</v>
      </c>
      <c r="F116" s="324">
        <v>0</v>
      </c>
      <c r="G116" s="324">
        <v>0</v>
      </c>
      <c r="H116" s="324">
        <v>0</v>
      </c>
      <c r="I116" s="324">
        <f t="shared" si="29"/>
        <v>195667000</v>
      </c>
      <c r="J116" s="318">
        <f t="shared" si="20"/>
        <v>0</v>
      </c>
      <c r="K116" s="319">
        <f t="shared" si="21"/>
        <v>0</v>
      </c>
      <c r="L116" s="320"/>
      <c r="M116" s="325">
        <f t="shared" si="22"/>
        <v>195667000</v>
      </c>
      <c r="N116" s="325">
        <f t="shared" si="23"/>
        <v>0</v>
      </c>
    </row>
    <row r="117" spans="2:14" s="323" customFormat="1" ht="15">
      <c r="B117" s="322" t="s">
        <v>600</v>
      </c>
      <c r="C117" s="322" t="s">
        <v>601</v>
      </c>
      <c r="D117" s="324">
        <v>0</v>
      </c>
      <c r="E117" s="324">
        <v>0</v>
      </c>
      <c r="F117" s="324">
        <v>0</v>
      </c>
      <c r="G117" s="324">
        <v>0</v>
      </c>
      <c r="H117" s="324">
        <v>0</v>
      </c>
      <c r="I117" s="324">
        <f t="shared" si="29"/>
        <v>0</v>
      </c>
      <c r="J117" s="318" t="e">
        <f t="shared" si="20"/>
        <v>#DIV/0!</v>
      </c>
      <c r="K117" s="319">
        <f t="shared" si="21"/>
        <v>0</v>
      </c>
      <c r="L117" s="320"/>
      <c r="M117" s="325">
        <f t="shared" si="22"/>
        <v>0</v>
      </c>
      <c r="N117" s="325">
        <f t="shared" si="23"/>
        <v>0</v>
      </c>
    </row>
    <row r="118" spans="2:14" s="323" customFormat="1" ht="15">
      <c r="B118" s="322" t="s">
        <v>1740</v>
      </c>
      <c r="C118" s="322" t="s">
        <v>1739</v>
      </c>
      <c r="D118" s="324">
        <v>145700000</v>
      </c>
      <c r="E118" s="324">
        <v>0</v>
      </c>
      <c r="F118" s="324">
        <v>0</v>
      </c>
      <c r="G118" s="324">
        <v>0</v>
      </c>
      <c r="H118" s="324">
        <v>0</v>
      </c>
      <c r="I118" s="324">
        <f t="shared" si="29"/>
        <v>145700000</v>
      </c>
      <c r="J118" s="318">
        <f t="shared" si="20"/>
        <v>0</v>
      </c>
      <c r="K118" s="319">
        <f t="shared" si="21"/>
        <v>0</v>
      </c>
      <c r="L118" s="320"/>
      <c r="M118" s="325">
        <f t="shared" si="22"/>
        <v>145700000</v>
      </c>
      <c r="N118" s="325">
        <f t="shared" si="23"/>
        <v>0</v>
      </c>
    </row>
    <row r="119" spans="2:14" s="323" customFormat="1" ht="15">
      <c r="B119" s="322" t="s">
        <v>1738</v>
      </c>
      <c r="C119" s="322" t="s">
        <v>1741</v>
      </c>
      <c r="D119" s="324">
        <v>360792550</v>
      </c>
      <c r="E119" s="324">
        <v>0</v>
      </c>
      <c r="F119" s="324">
        <v>0</v>
      </c>
      <c r="G119" s="324">
        <v>0</v>
      </c>
      <c r="H119" s="324">
        <v>0</v>
      </c>
      <c r="I119" s="324">
        <f t="shared" si="29"/>
        <v>360792550</v>
      </c>
      <c r="J119" s="318">
        <f t="shared" si="20"/>
        <v>0</v>
      </c>
      <c r="K119" s="319">
        <f t="shared" si="21"/>
        <v>0</v>
      </c>
      <c r="L119" s="320"/>
      <c r="M119" s="325">
        <f t="shared" si="22"/>
        <v>360792550</v>
      </c>
      <c r="N119" s="325">
        <f t="shared" si="23"/>
        <v>0</v>
      </c>
    </row>
    <row r="120" spans="2:14" s="323" customFormat="1" ht="15">
      <c r="B120" s="316" t="s">
        <v>365</v>
      </c>
      <c r="C120" s="316" t="s">
        <v>91</v>
      </c>
      <c r="D120" s="317">
        <f aca="true" t="shared" si="30" ref="D120:I120">+D121+D122+D123+D124+D125+D126+D127+D128</f>
        <v>0</v>
      </c>
      <c r="E120" s="317">
        <f t="shared" si="30"/>
        <v>0</v>
      </c>
      <c r="F120" s="317">
        <f t="shared" si="30"/>
        <v>0</v>
      </c>
      <c r="G120" s="317">
        <f t="shared" si="30"/>
        <v>0</v>
      </c>
      <c r="H120" s="317">
        <f t="shared" si="30"/>
        <v>0</v>
      </c>
      <c r="I120" s="317">
        <f t="shared" si="30"/>
        <v>0</v>
      </c>
      <c r="J120" s="318" t="e">
        <f t="shared" si="20"/>
        <v>#DIV/0!</v>
      </c>
      <c r="K120" s="318">
        <f t="shared" si="21"/>
        <v>0</v>
      </c>
      <c r="L120" s="327"/>
      <c r="M120" s="325">
        <f t="shared" si="22"/>
        <v>0</v>
      </c>
      <c r="N120" s="325">
        <f t="shared" si="23"/>
        <v>0</v>
      </c>
    </row>
    <row r="121" spans="2:14" s="323" customFormat="1" ht="15.75" customHeight="1">
      <c r="B121" s="322" t="s">
        <v>366</v>
      </c>
      <c r="C121" s="322" t="s">
        <v>602</v>
      </c>
      <c r="D121" s="324">
        <v>0</v>
      </c>
      <c r="E121" s="324">
        <v>0</v>
      </c>
      <c r="F121" s="324">
        <v>0</v>
      </c>
      <c r="G121" s="324">
        <v>0</v>
      </c>
      <c r="H121" s="324">
        <v>0</v>
      </c>
      <c r="I121" s="324">
        <f aca="true" t="shared" si="31" ref="I121:I128">+D121+E121-F121+G121-H121</f>
        <v>0</v>
      </c>
      <c r="J121" s="318" t="e">
        <f t="shared" si="20"/>
        <v>#DIV/0!</v>
      </c>
      <c r="K121" s="319">
        <f t="shared" si="21"/>
        <v>0</v>
      </c>
      <c r="L121" s="320"/>
      <c r="M121" s="325">
        <f t="shared" si="22"/>
        <v>0</v>
      </c>
      <c r="N121" s="325">
        <f t="shared" si="23"/>
        <v>0</v>
      </c>
    </row>
    <row r="122" spans="2:14" s="323" customFormat="1" ht="15" hidden="1">
      <c r="B122" s="322" t="s">
        <v>603</v>
      </c>
      <c r="C122" s="322" t="s">
        <v>604</v>
      </c>
      <c r="D122" s="324">
        <v>0</v>
      </c>
      <c r="E122" s="324">
        <v>0</v>
      </c>
      <c r="F122" s="324">
        <v>0</v>
      </c>
      <c r="G122" s="324">
        <v>0</v>
      </c>
      <c r="H122" s="324">
        <v>0</v>
      </c>
      <c r="I122" s="324">
        <f t="shared" si="31"/>
        <v>0</v>
      </c>
      <c r="J122" s="318" t="e">
        <f t="shared" si="20"/>
        <v>#DIV/0!</v>
      </c>
      <c r="K122" s="319">
        <f t="shared" si="21"/>
        <v>0</v>
      </c>
      <c r="L122" s="320"/>
      <c r="M122" s="325">
        <f t="shared" si="22"/>
        <v>0</v>
      </c>
      <c r="N122" s="325">
        <f t="shared" si="23"/>
        <v>0</v>
      </c>
    </row>
    <row r="123" spans="2:14" s="323" customFormat="1" ht="15">
      <c r="B123" s="322" t="s">
        <v>605</v>
      </c>
      <c r="C123" s="322" t="s">
        <v>606</v>
      </c>
      <c r="D123" s="324">
        <v>0</v>
      </c>
      <c r="E123" s="324">
        <v>0</v>
      </c>
      <c r="F123" s="324">
        <v>0</v>
      </c>
      <c r="G123" s="324">
        <v>0</v>
      </c>
      <c r="H123" s="324">
        <v>0</v>
      </c>
      <c r="I123" s="324">
        <f t="shared" si="31"/>
        <v>0</v>
      </c>
      <c r="J123" s="318" t="e">
        <f t="shared" si="20"/>
        <v>#DIV/0!</v>
      </c>
      <c r="K123" s="319">
        <f t="shared" si="21"/>
        <v>0</v>
      </c>
      <c r="L123" s="320"/>
      <c r="M123" s="325">
        <f t="shared" si="22"/>
        <v>0</v>
      </c>
      <c r="N123" s="325">
        <f t="shared" si="23"/>
        <v>0</v>
      </c>
    </row>
    <row r="124" spans="2:14" s="323" customFormat="1" ht="15">
      <c r="B124" s="322" t="s">
        <v>607</v>
      </c>
      <c r="C124" s="322" t="s">
        <v>608</v>
      </c>
      <c r="D124" s="324">
        <v>0</v>
      </c>
      <c r="E124" s="324">
        <v>0</v>
      </c>
      <c r="F124" s="324">
        <v>0</v>
      </c>
      <c r="G124" s="324">
        <v>0</v>
      </c>
      <c r="H124" s="324">
        <v>0</v>
      </c>
      <c r="I124" s="324">
        <f t="shared" si="31"/>
        <v>0</v>
      </c>
      <c r="J124" s="318" t="e">
        <f t="shared" si="20"/>
        <v>#DIV/0!</v>
      </c>
      <c r="K124" s="319">
        <f t="shared" si="21"/>
        <v>0</v>
      </c>
      <c r="L124" s="320"/>
      <c r="M124" s="325">
        <f t="shared" si="22"/>
        <v>0</v>
      </c>
      <c r="N124" s="325">
        <f t="shared" si="23"/>
        <v>0</v>
      </c>
    </row>
    <row r="125" spans="2:14" s="323" customFormat="1" ht="15">
      <c r="B125" s="322" t="s">
        <v>609</v>
      </c>
      <c r="C125" s="322" t="s">
        <v>610</v>
      </c>
      <c r="D125" s="324">
        <v>0</v>
      </c>
      <c r="E125" s="324">
        <v>0</v>
      </c>
      <c r="F125" s="324">
        <v>0</v>
      </c>
      <c r="G125" s="324">
        <v>0</v>
      </c>
      <c r="H125" s="324">
        <v>0</v>
      </c>
      <c r="I125" s="324">
        <f t="shared" si="31"/>
        <v>0</v>
      </c>
      <c r="J125" s="318" t="e">
        <f t="shared" si="20"/>
        <v>#DIV/0!</v>
      </c>
      <c r="K125" s="319">
        <f t="shared" si="21"/>
        <v>0</v>
      </c>
      <c r="L125" s="320"/>
      <c r="M125" s="325">
        <f t="shared" si="22"/>
        <v>0</v>
      </c>
      <c r="N125" s="325">
        <f t="shared" si="23"/>
        <v>0</v>
      </c>
    </row>
    <row r="126" spans="2:14" s="323" customFormat="1" ht="15">
      <c r="B126" s="322" t="s">
        <v>611</v>
      </c>
      <c r="C126" s="322" t="s">
        <v>612</v>
      </c>
      <c r="D126" s="324">
        <v>0</v>
      </c>
      <c r="E126" s="324">
        <v>0</v>
      </c>
      <c r="F126" s="324">
        <v>0</v>
      </c>
      <c r="G126" s="324">
        <v>0</v>
      </c>
      <c r="H126" s="324">
        <v>0</v>
      </c>
      <c r="I126" s="324">
        <f t="shared" si="31"/>
        <v>0</v>
      </c>
      <c r="J126" s="318" t="e">
        <f t="shared" si="20"/>
        <v>#DIV/0!</v>
      </c>
      <c r="K126" s="319">
        <f t="shared" si="21"/>
        <v>0</v>
      </c>
      <c r="L126" s="320"/>
      <c r="M126" s="325">
        <f t="shared" si="22"/>
        <v>0</v>
      </c>
      <c r="N126" s="325">
        <f t="shared" si="23"/>
        <v>0</v>
      </c>
    </row>
    <row r="127" spans="2:14" s="323" customFormat="1" ht="15">
      <c r="B127" s="322" t="s">
        <v>613</v>
      </c>
      <c r="C127" s="322" t="s">
        <v>614</v>
      </c>
      <c r="D127" s="324">
        <v>0</v>
      </c>
      <c r="E127" s="324">
        <v>0</v>
      </c>
      <c r="F127" s="324">
        <v>0</v>
      </c>
      <c r="G127" s="324">
        <v>0</v>
      </c>
      <c r="H127" s="324">
        <v>0</v>
      </c>
      <c r="I127" s="324">
        <f t="shared" si="31"/>
        <v>0</v>
      </c>
      <c r="J127" s="318" t="e">
        <f t="shared" si="20"/>
        <v>#DIV/0!</v>
      </c>
      <c r="K127" s="319">
        <f t="shared" si="21"/>
        <v>0</v>
      </c>
      <c r="L127" s="320"/>
      <c r="M127" s="325">
        <f t="shared" si="22"/>
        <v>0</v>
      </c>
      <c r="N127" s="325">
        <f t="shared" si="23"/>
        <v>0</v>
      </c>
    </row>
    <row r="128" spans="2:14" s="323" customFormat="1" ht="15">
      <c r="B128" s="322" t="s">
        <v>615</v>
      </c>
      <c r="C128" s="322" t="s">
        <v>616</v>
      </c>
      <c r="D128" s="324">
        <v>0</v>
      </c>
      <c r="E128" s="324">
        <v>0</v>
      </c>
      <c r="F128" s="324">
        <v>0</v>
      </c>
      <c r="G128" s="324">
        <v>0</v>
      </c>
      <c r="H128" s="324">
        <v>0</v>
      </c>
      <c r="I128" s="324">
        <f t="shared" si="31"/>
        <v>0</v>
      </c>
      <c r="J128" s="318" t="e">
        <f t="shared" si="20"/>
        <v>#DIV/0!</v>
      </c>
      <c r="K128" s="319">
        <f t="shared" si="21"/>
        <v>0</v>
      </c>
      <c r="L128" s="320"/>
      <c r="M128" s="325">
        <f t="shared" si="22"/>
        <v>0</v>
      </c>
      <c r="N128" s="325">
        <f t="shared" si="23"/>
        <v>0</v>
      </c>
    </row>
    <row r="129" spans="2:14" s="302" customFormat="1" ht="15">
      <c r="B129" s="316" t="s">
        <v>367</v>
      </c>
      <c r="C129" s="316" t="s">
        <v>617</v>
      </c>
      <c r="D129" s="317">
        <f>SUM(D130)</f>
        <v>0</v>
      </c>
      <c r="E129" s="317">
        <f>SUM(E130)</f>
        <v>0</v>
      </c>
      <c r="F129" s="317">
        <f>SUM(F130)</f>
        <v>0</v>
      </c>
      <c r="G129" s="317">
        <f>SUM(G130)</f>
        <v>0</v>
      </c>
      <c r="H129" s="317">
        <f>SUM(H130)</f>
        <v>0</v>
      </c>
      <c r="I129" s="317">
        <f>+I130</f>
        <v>0</v>
      </c>
      <c r="J129" s="318" t="e">
        <f t="shared" si="20"/>
        <v>#DIV/0!</v>
      </c>
      <c r="K129" s="319">
        <f t="shared" si="21"/>
        <v>0</v>
      </c>
      <c r="L129" s="320"/>
      <c r="M129" s="325">
        <f t="shared" si="22"/>
        <v>0</v>
      </c>
      <c r="N129" s="325">
        <f t="shared" si="23"/>
        <v>0</v>
      </c>
    </row>
    <row r="130" spans="2:14" s="323" customFormat="1" ht="15">
      <c r="B130" s="322" t="s">
        <v>368</v>
      </c>
      <c r="C130" s="322" t="s">
        <v>617</v>
      </c>
      <c r="D130" s="324">
        <v>0</v>
      </c>
      <c r="E130" s="324">
        <v>0</v>
      </c>
      <c r="F130" s="324">
        <v>0</v>
      </c>
      <c r="G130" s="324">
        <v>0</v>
      </c>
      <c r="H130" s="324">
        <v>0</v>
      </c>
      <c r="I130" s="324">
        <f>+D130+E130-F130+G130-H130</f>
        <v>0</v>
      </c>
      <c r="J130" s="318" t="e">
        <f t="shared" si="20"/>
        <v>#DIV/0!</v>
      </c>
      <c r="K130" s="319">
        <f t="shared" si="21"/>
        <v>0</v>
      </c>
      <c r="L130" s="320"/>
      <c r="M130" s="325">
        <f t="shared" si="22"/>
        <v>0</v>
      </c>
      <c r="N130" s="325">
        <f t="shared" si="23"/>
        <v>0</v>
      </c>
    </row>
    <row r="131" spans="2:14" s="302" customFormat="1" ht="15">
      <c r="B131" s="316" t="s">
        <v>369</v>
      </c>
      <c r="C131" s="316" t="s">
        <v>92</v>
      </c>
      <c r="D131" s="317">
        <f aca="true" t="shared" si="32" ref="D131:I131">SUM(D132:D135)</f>
        <v>-4455726444</v>
      </c>
      <c r="E131" s="317">
        <f t="shared" si="32"/>
        <v>0</v>
      </c>
      <c r="F131" s="317">
        <f t="shared" si="32"/>
        <v>0</v>
      </c>
      <c r="G131" s="317">
        <f t="shared" si="32"/>
        <v>-429614516</v>
      </c>
      <c r="H131" s="317">
        <f t="shared" si="32"/>
        <v>-104100000</v>
      </c>
      <c r="I131" s="317">
        <f t="shared" si="32"/>
        <v>-4781240960</v>
      </c>
      <c r="J131" s="318">
        <f t="shared" si="20"/>
        <v>7.305531883321336</v>
      </c>
      <c r="K131" s="319">
        <f t="shared" si="21"/>
        <v>-325514516</v>
      </c>
      <c r="L131" s="320"/>
      <c r="M131" s="325">
        <f t="shared" si="22"/>
        <v>-4781240960</v>
      </c>
      <c r="N131" s="325">
        <f t="shared" si="23"/>
        <v>0</v>
      </c>
    </row>
    <row r="132" spans="2:14" s="323" customFormat="1" ht="30">
      <c r="B132" s="322" t="s">
        <v>370</v>
      </c>
      <c r="C132" s="322" t="s">
        <v>618</v>
      </c>
      <c r="D132" s="324">
        <v>-589370209</v>
      </c>
      <c r="E132" s="324">
        <v>0</v>
      </c>
      <c r="F132" s="324">
        <v>0</v>
      </c>
      <c r="G132" s="324">
        <v>-156502351</v>
      </c>
      <c r="H132" s="324">
        <v>-104100000</v>
      </c>
      <c r="I132" s="324">
        <f>+D132+E132-F132+G132-H132</f>
        <v>-641772560</v>
      </c>
      <c r="J132" s="318">
        <f t="shared" si="20"/>
        <v>8.89124529875924</v>
      </c>
      <c r="K132" s="319">
        <f t="shared" si="21"/>
        <v>-52402351</v>
      </c>
      <c r="L132" s="320"/>
      <c r="M132" s="325">
        <f t="shared" si="22"/>
        <v>-641772560</v>
      </c>
      <c r="N132" s="325">
        <f t="shared" si="23"/>
        <v>0</v>
      </c>
    </row>
    <row r="133" spans="2:14" s="323" customFormat="1" ht="30">
      <c r="B133" s="322" t="s">
        <v>371</v>
      </c>
      <c r="C133" s="322" t="s">
        <v>619</v>
      </c>
      <c r="D133" s="324">
        <v>-440458078</v>
      </c>
      <c r="E133" s="324">
        <v>0</v>
      </c>
      <c r="F133" s="324">
        <v>0</v>
      </c>
      <c r="G133" s="324">
        <v>-38237521</v>
      </c>
      <c r="H133" s="324">
        <v>0</v>
      </c>
      <c r="I133" s="324">
        <f>+D133+E133-F133+G133-H133</f>
        <v>-478695599</v>
      </c>
      <c r="J133" s="318">
        <f t="shared" si="20"/>
        <v>8.681307690762798</v>
      </c>
      <c r="K133" s="319">
        <f t="shared" si="21"/>
        <v>-38237521</v>
      </c>
      <c r="L133" s="320"/>
      <c r="M133" s="325">
        <f t="shared" si="22"/>
        <v>-478695599</v>
      </c>
      <c r="N133" s="325">
        <f t="shared" si="23"/>
        <v>0</v>
      </c>
    </row>
    <row r="134" spans="2:14" s="323" customFormat="1" ht="30">
      <c r="B134" s="322" t="s">
        <v>372</v>
      </c>
      <c r="C134" s="322" t="s">
        <v>620</v>
      </c>
      <c r="D134" s="324">
        <v>-3425898157</v>
      </c>
      <c r="E134" s="324">
        <v>0</v>
      </c>
      <c r="F134" s="324">
        <v>0</v>
      </c>
      <c r="G134" s="324">
        <v>-234874644</v>
      </c>
      <c r="H134" s="324">
        <v>0</v>
      </c>
      <c r="I134" s="324">
        <f>+D134+E134-F134+G134-H134</f>
        <v>-3660772801</v>
      </c>
      <c r="J134" s="318">
        <f t="shared" si="20"/>
        <v>6.855855989766948</v>
      </c>
      <c r="K134" s="319">
        <f t="shared" si="21"/>
        <v>-234874644</v>
      </c>
      <c r="L134" s="320"/>
      <c r="M134" s="325">
        <f aca="true" t="shared" si="33" ref="M134:M154">D134+E134-F134+G134-H134</f>
        <v>-3660772801</v>
      </c>
      <c r="N134" s="325">
        <f aca="true" t="shared" si="34" ref="N134:N155">I134-M134</f>
        <v>0</v>
      </c>
    </row>
    <row r="135" spans="2:14" s="323" customFormat="1" ht="18" customHeight="1">
      <c r="B135" s="322" t="s">
        <v>1448</v>
      </c>
      <c r="C135" s="322" t="s">
        <v>777</v>
      </c>
      <c r="D135" s="324">
        <v>0</v>
      </c>
      <c r="E135" s="324">
        <v>0</v>
      </c>
      <c r="F135" s="324">
        <v>0</v>
      </c>
      <c r="G135" s="324">
        <v>0</v>
      </c>
      <c r="H135" s="324">
        <v>0</v>
      </c>
      <c r="I135" s="324">
        <f>+D135+E135-F135+G135-H135</f>
        <v>0</v>
      </c>
      <c r="J135" s="318" t="e">
        <f t="shared" si="20"/>
        <v>#DIV/0!</v>
      </c>
      <c r="K135" s="319">
        <f t="shared" si="21"/>
        <v>0</v>
      </c>
      <c r="L135" s="320"/>
      <c r="M135" s="325">
        <f t="shared" si="33"/>
        <v>0</v>
      </c>
      <c r="N135" s="325">
        <f t="shared" si="34"/>
        <v>0</v>
      </c>
    </row>
    <row r="136" spans="2:14" s="302" customFormat="1" ht="15">
      <c r="B136" s="316" t="s">
        <v>373</v>
      </c>
      <c r="C136" s="316" t="s">
        <v>621</v>
      </c>
      <c r="D136" s="317">
        <f>D137</f>
        <v>0</v>
      </c>
      <c r="E136" s="317">
        <f>+E137</f>
        <v>0</v>
      </c>
      <c r="F136" s="317">
        <f>+F137</f>
        <v>0</v>
      </c>
      <c r="G136" s="317">
        <f>+G137</f>
        <v>0</v>
      </c>
      <c r="H136" s="317">
        <f>+H137</f>
        <v>0</v>
      </c>
      <c r="I136" s="317">
        <f>I137</f>
        <v>0</v>
      </c>
      <c r="J136" s="318" t="e">
        <f t="shared" si="20"/>
        <v>#DIV/0!</v>
      </c>
      <c r="K136" s="319">
        <f t="shared" si="21"/>
        <v>0</v>
      </c>
      <c r="L136" s="320"/>
      <c r="M136" s="325">
        <f t="shared" si="33"/>
        <v>0</v>
      </c>
      <c r="N136" s="325">
        <f t="shared" si="34"/>
        <v>0</v>
      </c>
    </row>
    <row r="137" spans="2:14" s="323" customFormat="1" ht="15">
      <c r="B137" s="322" t="s">
        <v>622</v>
      </c>
      <c r="C137" s="322" t="s">
        <v>623</v>
      </c>
      <c r="D137" s="324">
        <v>0</v>
      </c>
      <c r="E137" s="324">
        <v>0</v>
      </c>
      <c r="F137" s="324">
        <v>0</v>
      </c>
      <c r="G137" s="324">
        <v>0</v>
      </c>
      <c r="H137" s="324">
        <v>0</v>
      </c>
      <c r="I137" s="324">
        <f aca="true" t="shared" si="35" ref="I137:I152">+D137+E137-F137+G137-H137</f>
        <v>0</v>
      </c>
      <c r="J137" s="318" t="e">
        <f aca="true" t="shared" si="36" ref="J137:J145">(I137-D137)/D137*100</f>
        <v>#DIV/0!</v>
      </c>
      <c r="K137" s="319">
        <f aca="true" t="shared" si="37" ref="K137:K200">I137-D137</f>
        <v>0</v>
      </c>
      <c r="L137" s="320"/>
      <c r="M137" s="325">
        <f t="shared" si="33"/>
        <v>0</v>
      </c>
      <c r="N137" s="325">
        <f t="shared" si="34"/>
        <v>0</v>
      </c>
    </row>
    <row r="138" spans="2:14" s="302" customFormat="1" ht="15">
      <c r="B138" s="316" t="s">
        <v>374</v>
      </c>
      <c r="C138" s="316" t="s">
        <v>624</v>
      </c>
      <c r="D138" s="317">
        <f aca="true" t="shared" si="38" ref="D138:I138">+D139+D141+D146+D153</f>
        <v>0</v>
      </c>
      <c r="E138" s="317">
        <f t="shared" si="38"/>
        <v>0</v>
      </c>
      <c r="F138" s="317">
        <f t="shared" si="38"/>
        <v>0</v>
      </c>
      <c r="G138" s="317">
        <f t="shared" si="38"/>
        <v>0</v>
      </c>
      <c r="H138" s="317">
        <f t="shared" si="38"/>
        <v>0</v>
      </c>
      <c r="I138" s="317">
        <f t="shared" si="38"/>
        <v>0</v>
      </c>
      <c r="J138" s="318" t="e">
        <f t="shared" si="36"/>
        <v>#DIV/0!</v>
      </c>
      <c r="K138" s="319">
        <f t="shared" si="37"/>
        <v>0</v>
      </c>
      <c r="L138" s="320"/>
      <c r="M138" s="325">
        <f t="shared" si="33"/>
        <v>0</v>
      </c>
      <c r="N138" s="325">
        <f t="shared" si="34"/>
        <v>0</v>
      </c>
    </row>
    <row r="139" spans="2:14" s="302" customFormat="1" ht="15">
      <c r="B139" s="316" t="s">
        <v>375</v>
      </c>
      <c r="C139" s="316" t="s">
        <v>625</v>
      </c>
      <c r="D139" s="317">
        <f aca="true" t="shared" si="39" ref="D139:I139">D140</f>
        <v>0</v>
      </c>
      <c r="E139" s="317">
        <f t="shared" si="39"/>
        <v>0</v>
      </c>
      <c r="F139" s="317">
        <f t="shared" si="39"/>
        <v>0</v>
      </c>
      <c r="G139" s="317">
        <f t="shared" si="39"/>
        <v>0</v>
      </c>
      <c r="H139" s="317">
        <f t="shared" si="39"/>
        <v>0</v>
      </c>
      <c r="I139" s="317">
        <f t="shared" si="39"/>
        <v>0</v>
      </c>
      <c r="J139" s="318" t="e">
        <f t="shared" si="36"/>
        <v>#DIV/0!</v>
      </c>
      <c r="K139" s="318">
        <f t="shared" si="37"/>
        <v>0</v>
      </c>
      <c r="L139" s="327"/>
      <c r="M139" s="325">
        <f t="shared" si="33"/>
        <v>0</v>
      </c>
      <c r="N139" s="325">
        <f t="shared" si="34"/>
        <v>0</v>
      </c>
    </row>
    <row r="140" spans="2:14" s="323" customFormat="1" ht="15">
      <c r="B140" s="322" t="s">
        <v>626</v>
      </c>
      <c r="C140" s="322" t="s">
        <v>627</v>
      </c>
      <c r="D140" s="324">
        <v>0</v>
      </c>
      <c r="E140" s="324">
        <v>0</v>
      </c>
      <c r="F140" s="324">
        <v>0</v>
      </c>
      <c r="G140" s="324">
        <v>0</v>
      </c>
      <c r="H140" s="324">
        <v>0</v>
      </c>
      <c r="I140" s="324">
        <f t="shared" si="35"/>
        <v>0</v>
      </c>
      <c r="J140" s="318" t="e">
        <f t="shared" si="36"/>
        <v>#DIV/0!</v>
      </c>
      <c r="K140" s="319">
        <f t="shared" si="37"/>
        <v>0</v>
      </c>
      <c r="L140" s="320"/>
      <c r="M140" s="325">
        <f t="shared" si="33"/>
        <v>0</v>
      </c>
      <c r="N140" s="325">
        <f t="shared" si="34"/>
        <v>0</v>
      </c>
    </row>
    <row r="141" spans="2:14" s="302" customFormat="1" ht="15">
      <c r="B141" s="316" t="s">
        <v>376</v>
      </c>
      <c r="C141" s="316" t="s">
        <v>628</v>
      </c>
      <c r="D141" s="317">
        <f aca="true" t="shared" si="40" ref="D141:I141">SUM(D142:D145)</f>
        <v>0</v>
      </c>
      <c r="E141" s="317">
        <f t="shared" si="40"/>
        <v>0</v>
      </c>
      <c r="F141" s="317">
        <f t="shared" si="40"/>
        <v>0</v>
      </c>
      <c r="G141" s="317">
        <f t="shared" si="40"/>
        <v>0</v>
      </c>
      <c r="H141" s="317">
        <f t="shared" si="40"/>
        <v>0</v>
      </c>
      <c r="I141" s="317">
        <f t="shared" si="40"/>
        <v>0</v>
      </c>
      <c r="J141" s="318" t="e">
        <f t="shared" si="36"/>
        <v>#DIV/0!</v>
      </c>
      <c r="K141" s="318">
        <f t="shared" si="37"/>
        <v>0</v>
      </c>
      <c r="L141" s="327"/>
      <c r="M141" s="325">
        <f t="shared" si="33"/>
        <v>0</v>
      </c>
      <c r="N141" s="325">
        <f t="shared" si="34"/>
        <v>0</v>
      </c>
    </row>
    <row r="142" spans="2:14" s="323" customFormat="1" ht="15">
      <c r="B142" s="322" t="s">
        <v>629</v>
      </c>
      <c r="C142" s="322" t="s">
        <v>630</v>
      </c>
      <c r="D142" s="324">
        <v>0</v>
      </c>
      <c r="E142" s="324">
        <v>0</v>
      </c>
      <c r="F142" s="324">
        <v>0</v>
      </c>
      <c r="G142" s="324">
        <v>0</v>
      </c>
      <c r="H142" s="324">
        <v>0</v>
      </c>
      <c r="I142" s="324">
        <f t="shared" si="35"/>
        <v>0</v>
      </c>
      <c r="J142" s="318" t="e">
        <f t="shared" si="36"/>
        <v>#DIV/0!</v>
      </c>
      <c r="K142" s="319">
        <f t="shared" si="37"/>
        <v>0</v>
      </c>
      <c r="L142" s="320"/>
      <c r="M142" s="325">
        <f t="shared" si="33"/>
        <v>0</v>
      </c>
      <c r="N142" s="325">
        <f t="shared" si="34"/>
        <v>0</v>
      </c>
    </row>
    <row r="143" spans="2:14" s="323" customFormat="1" ht="15">
      <c r="B143" s="322" t="s">
        <v>631</v>
      </c>
      <c r="C143" s="322" t="s">
        <v>632</v>
      </c>
      <c r="D143" s="324">
        <v>0</v>
      </c>
      <c r="E143" s="324">
        <v>0</v>
      </c>
      <c r="F143" s="324">
        <v>0</v>
      </c>
      <c r="G143" s="324">
        <v>0</v>
      </c>
      <c r="H143" s="324">
        <v>0</v>
      </c>
      <c r="I143" s="324">
        <f t="shared" si="35"/>
        <v>0</v>
      </c>
      <c r="J143" s="318" t="e">
        <f t="shared" si="36"/>
        <v>#DIV/0!</v>
      </c>
      <c r="K143" s="319">
        <f t="shared" si="37"/>
        <v>0</v>
      </c>
      <c r="L143" s="320"/>
      <c r="M143" s="325">
        <f t="shared" si="33"/>
        <v>0</v>
      </c>
      <c r="N143" s="325">
        <f t="shared" si="34"/>
        <v>0</v>
      </c>
    </row>
    <row r="144" spans="2:14" s="323" customFormat="1" ht="15">
      <c r="B144" s="322" t="s">
        <v>633</v>
      </c>
      <c r="C144" s="322" t="s">
        <v>634</v>
      </c>
      <c r="D144" s="324">
        <v>0</v>
      </c>
      <c r="E144" s="324">
        <v>0</v>
      </c>
      <c r="F144" s="324">
        <v>0</v>
      </c>
      <c r="G144" s="324">
        <v>0</v>
      </c>
      <c r="H144" s="324">
        <v>0</v>
      </c>
      <c r="I144" s="324">
        <f t="shared" si="35"/>
        <v>0</v>
      </c>
      <c r="J144" s="318" t="e">
        <f t="shared" si="36"/>
        <v>#DIV/0!</v>
      </c>
      <c r="K144" s="319">
        <f t="shared" si="37"/>
        <v>0</v>
      </c>
      <c r="L144" s="320"/>
      <c r="M144" s="325">
        <f t="shared" si="33"/>
        <v>0</v>
      </c>
      <c r="N144" s="325">
        <f t="shared" si="34"/>
        <v>0</v>
      </c>
    </row>
    <row r="145" spans="2:14" s="323" customFormat="1" ht="15">
      <c r="B145" s="322" t="s">
        <v>635</v>
      </c>
      <c r="C145" s="322" t="s">
        <v>636</v>
      </c>
      <c r="D145" s="324">
        <v>0</v>
      </c>
      <c r="E145" s="324">
        <v>0</v>
      </c>
      <c r="F145" s="324">
        <v>0</v>
      </c>
      <c r="G145" s="324">
        <v>0</v>
      </c>
      <c r="H145" s="324">
        <v>0</v>
      </c>
      <c r="I145" s="324">
        <f t="shared" si="35"/>
        <v>0</v>
      </c>
      <c r="J145" s="318" t="e">
        <f t="shared" si="36"/>
        <v>#DIV/0!</v>
      </c>
      <c r="K145" s="319">
        <f t="shared" si="37"/>
        <v>0</v>
      </c>
      <c r="L145" s="320"/>
      <c r="M145" s="325">
        <f t="shared" si="33"/>
        <v>0</v>
      </c>
      <c r="N145" s="325">
        <f t="shared" si="34"/>
        <v>0</v>
      </c>
    </row>
    <row r="146" spans="2:14" s="302" customFormat="1" ht="15">
      <c r="B146" s="316" t="s">
        <v>377</v>
      </c>
      <c r="C146" s="316" t="s">
        <v>637</v>
      </c>
      <c r="D146" s="317">
        <f>SUM(D147:D152)-D152</f>
        <v>0</v>
      </c>
      <c r="E146" s="317">
        <f aca="true" t="shared" si="41" ref="E146:K146">SUM(E147:E152)-E152</f>
        <v>0</v>
      </c>
      <c r="F146" s="317">
        <f t="shared" si="41"/>
        <v>0</v>
      </c>
      <c r="G146" s="317">
        <f t="shared" si="41"/>
        <v>0</v>
      </c>
      <c r="H146" s="317">
        <f t="shared" si="41"/>
        <v>0</v>
      </c>
      <c r="I146" s="317">
        <f t="shared" si="41"/>
        <v>0</v>
      </c>
      <c r="J146" s="317" t="e">
        <f t="shared" si="41"/>
        <v>#DIV/0!</v>
      </c>
      <c r="K146" s="317">
        <f t="shared" si="41"/>
        <v>0</v>
      </c>
      <c r="L146" s="327"/>
      <c r="M146" s="325">
        <f t="shared" si="33"/>
        <v>0</v>
      </c>
      <c r="N146" s="325">
        <f t="shared" si="34"/>
        <v>0</v>
      </c>
    </row>
    <row r="147" spans="2:14" s="323" customFormat="1" ht="15">
      <c r="B147" s="322" t="s">
        <v>638</v>
      </c>
      <c r="C147" s="322" t="s">
        <v>639</v>
      </c>
      <c r="D147" s="324">
        <v>0</v>
      </c>
      <c r="E147" s="324">
        <v>0</v>
      </c>
      <c r="F147" s="324">
        <v>0</v>
      </c>
      <c r="G147" s="324">
        <v>0</v>
      </c>
      <c r="H147" s="324">
        <v>0</v>
      </c>
      <c r="I147" s="324">
        <f t="shared" si="35"/>
        <v>0</v>
      </c>
      <c r="J147" s="318" t="e">
        <f aca="true" t="shared" si="42" ref="J147:J157">(I147-D147)/D147*100</f>
        <v>#DIV/0!</v>
      </c>
      <c r="K147" s="319">
        <f t="shared" si="37"/>
        <v>0</v>
      </c>
      <c r="L147" s="320"/>
      <c r="M147" s="325">
        <f t="shared" si="33"/>
        <v>0</v>
      </c>
      <c r="N147" s="325">
        <f t="shared" si="34"/>
        <v>0</v>
      </c>
    </row>
    <row r="148" spans="2:14" s="323" customFormat="1" ht="15">
      <c r="B148" s="322" t="s">
        <v>640</v>
      </c>
      <c r="C148" s="322" t="s">
        <v>641</v>
      </c>
      <c r="D148" s="324">
        <v>0</v>
      </c>
      <c r="E148" s="324">
        <v>0</v>
      </c>
      <c r="F148" s="324">
        <v>0</v>
      </c>
      <c r="G148" s="324">
        <v>0</v>
      </c>
      <c r="H148" s="324">
        <v>0</v>
      </c>
      <c r="I148" s="324">
        <f t="shared" si="35"/>
        <v>0</v>
      </c>
      <c r="J148" s="318" t="e">
        <f t="shared" si="42"/>
        <v>#DIV/0!</v>
      </c>
      <c r="K148" s="319">
        <f t="shared" si="37"/>
        <v>0</v>
      </c>
      <c r="L148" s="320"/>
      <c r="M148" s="325">
        <f t="shared" si="33"/>
        <v>0</v>
      </c>
      <c r="N148" s="325">
        <f t="shared" si="34"/>
        <v>0</v>
      </c>
    </row>
    <row r="149" spans="2:14" s="323" customFormat="1" ht="15">
      <c r="B149" s="322" t="s">
        <v>642</v>
      </c>
      <c r="C149" s="322" t="s">
        <v>643</v>
      </c>
      <c r="D149" s="324">
        <v>0</v>
      </c>
      <c r="E149" s="324">
        <v>0</v>
      </c>
      <c r="F149" s="324">
        <v>0</v>
      </c>
      <c r="G149" s="324">
        <v>0</v>
      </c>
      <c r="H149" s="324">
        <v>0</v>
      </c>
      <c r="I149" s="324">
        <f t="shared" si="35"/>
        <v>0</v>
      </c>
      <c r="J149" s="318" t="e">
        <f t="shared" si="42"/>
        <v>#DIV/0!</v>
      </c>
      <c r="K149" s="319">
        <f t="shared" si="37"/>
        <v>0</v>
      </c>
      <c r="L149" s="320"/>
      <c r="M149" s="325">
        <f t="shared" si="33"/>
        <v>0</v>
      </c>
      <c r="N149" s="325">
        <f t="shared" si="34"/>
        <v>0</v>
      </c>
    </row>
    <row r="150" spans="2:14" s="323" customFormat="1" ht="15">
      <c r="B150" s="322" t="s">
        <v>644</v>
      </c>
      <c r="C150" s="322" t="s">
        <v>645</v>
      </c>
      <c r="D150" s="324">
        <v>0</v>
      </c>
      <c r="E150" s="324">
        <v>0</v>
      </c>
      <c r="F150" s="324">
        <v>0</v>
      </c>
      <c r="G150" s="324">
        <v>0</v>
      </c>
      <c r="H150" s="324">
        <v>0</v>
      </c>
      <c r="I150" s="324">
        <f t="shared" si="35"/>
        <v>0</v>
      </c>
      <c r="J150" s="318" t="e">
        <f t="shared" si="42"/>
        <v>#DIV/0!</v>
      </c>
      <c r="K150" s="319">
        <f t="shared" si="37"/>
        <v>0</v>
      </c>
      <c r="L150" s="320"/>
      <c r="M150" s="325">
        <f t="shared" si="33"/>
        <v>0</v>
      </c>
      <c r="N150" s="325">
        <f t="shared" si="34"/>
        <v>0</v>
      </c>
    </row>
    <row r="151" spans="2:14" s="323" customFormat="1" ht="15">
      <c r="B151" s="322" t="s">
        <v>378</v>
      </c>
      <c r="C151" s="322" t="s">
        <v>646</v>
      </c>
      <c r="D151" s="324">
        <v>0</v>
      </c>
      <c r="E151" s="324">
        <v>0</v>
      </c>
      <c r="F151" s="324">
        <v>0</v>
      </c>
      <c r="G151" s="324">
        <v>0</v>
      </c>
      <c r="H151" s="324">
        <v>0</v>
      </c>
      <c r="I151" s="324">
        <f t="shared" si="35"/>
        <v>0</v>
      </c>
      <c r="J151" s="333" t="e">
        <f t="shared" si="42"/>
        <v>#DIV/0!</v>
      </c>
      <c r="K151" s="318">
        <f t="shared" si="37"/>
        <v>0</v>
      </c>
      <c r="L151" s="327"/>
      <c r="M151" s="325">
        <f t="shared" si="33"/>
        <v>0</v>
      </c>
      <c r="N151" s="325">
        <f t="shared" si="34"/>
        <v>0</v>
      </c>
    </row>
    <row r="152" spans="2:14" s="323" customFormat="1" ht="30">
      <c r="B152" s="322" t="s">
        <v>379</v>
      </c>
      <c r="C152" s="589" t="s">
        <v>647</v>
      </c>
      <c r="D152" s="324">
        <v>0</v>
      </c>
      <c r="E152" s="590">
        <v>0</v>
      </c>
      <c r="F152" s="324">
        <v>0</v>
      </c>
      <c r="G152" s="324">
        <v>0</v>
      </c>
      <c r="H152" s="324">
        <v>0</v>
      </c>
      <c r="I152" s="590">
        <f t="shared" si="35"/>
        <v>0</v>
      </c>
      <c r="J152" s="591" t="e">
        <f t="shared" si="42"/>
        <v>#DIV/0!</v>
      </c>
      <c r="K152" s="591">
        <f t="shared" si="37"/>
        <v>0</v>
      </c>
      <c r="L152" s="327"/>
      <c r="M152" s="325">
        <f t="shared" si="33"/>
        <v>0</v>
      </c>
      <c r="N152" s="325">
        <f t="shared" si="34"/>
        <v>0</v>
      </c>
    </row>
    <row r="153" spans="2:14" s="302" customFormat="1" ht="15">
      <c r="B153" s="316" t="s">
        <v>380</v>
      </c>
      <c r="C153" s="316" t="s">
        <v>93</v>
      </c>
      <c r="D153" s="317">
        <f aca="true" t="shared" si="43" ref="D153:I153">+D154</f>
        <v>0</v>
      </c>
      <c r="E153" s="317">
        <f t="shared" si="43"/>
        <v>0</v>
      </c>
      <c r="F153" s="317">
        <f t="shared" si="43"/>
        <v>0</v>
      </c>
      <c r="G153" s="317">
        <f t="shared" si="43"/>
        <v>0</v>
      </c>
      <c r="H153" s="317">
        <f t="shared" si="43"/>
        <v>0</v>
      </c>
      <c r="I153" s="317">
        <f t="shared" si="43"/>
        <v>0</v>
      </c>
      <c r="J153" s="318" t="e">
        <f t="shared" si="42"/>
        <v>#DIV/0!</v>
      </c>
      <c r="K153" s="319">
        <f>I153-D153</f>
        <v>0</v>
      </c>
      <c r="L153" s="320"/>
      <c r="M153" s="325">
        <f t="shared" si="33"/>
        <v>0</v>
      </c>
      <c r="N153" s="325">
        <f t="shared" si="34"/>
        <v>0</v>
      </c>
    </row>
    <row r="154" spans="2:14" s="323" customFormat="1" ht="15">
      <c r="B154" s="322" t="s">
        <v>381</v>
      </c>
      <c r="C154" s="322" t="s">
        <v>93</v>
      </c>
      <c r="D154" s="324">
        <v>0</v>
      </c>
      <c r="E154" s="324">
        <v>0</v>
      </c>
      <c r="F154" s="324">
        <v>0</v>
      </c>
      <c r="G154" s="324">
        <v>0</v>
      </c>
      <c r="H154" s="324">
        <v>0</v>
      </c>
      <c r="I154" s="324">
        <f>+D154+E154-F154+G154-H154</f>
        <v>0</v>
      </c>
      <c r="J154" s="318" t="e">
        <f t="shared" si="42"/>
        <v>#DIV/0!</v>
      </c>
      <c r="K154" s="319">
        <f t="shared" si="37"/>
        <v>0</v>
      </c>
      <c r="L154" s="320"/>
      <c r="M154" s="325">
        <f t="shared" si="33"/>
        <v>0</v>
      </c>
      <c r="N154" s="325">
        <f t="shared" si="34"/>
        <v>0</v>
      </c>
    </row>
    <row r="155" spans="2:14" s="302" customFormat="1" ht="15">
      <c r="B155" s="316" t="s">
        <v>16</v>
      </c>
      <c r="C155" s="316" t="s">
        <v>13</v>
      </c>
      <c r="D155" s="317">
        <f aca="true" t="shared" si="44" ref="D155:I155">+D156+D197</f>
        <v>3324557</v>
      </c>
      <c r="E155" s="317">
        <f t="shared" si="44"/>
        <v>0</v>
      </c>
      <c r="F155" s="317">
        <f t="shared" si="44"/>
        <v>0</v>
      </c>
      <c r="G155" s="317">
        <f t="shared" si="44"/>
        <v>32979020</v>
      </c>
      <c r="H155" s="317">
        <f t="shared" si="44"/>
        <v>29654463</v>
      </c>
      <c r="I155" s="317">
        <f t="shared" si="44"/>
        <v>0</v>
      </c>
      <c r="J155" s="318">
        <f t="shared" si="42"/>
        <v>-100</v>
      </c>
      <c r="K155" s="319">
        <f t="shared" si="37"/>
        <v>-3324557</v>
      </c>
      <c r="L155" s="320"/>
      <c r="M155" s="321">
        <f>D155-E155+F155-G155+H155</f>
        <v>0</v>
      </c>
      <c r="N155" s="321">
        <f t="shared" si="34"/>
        <v>0</v>
      </c>
    </row>
    <row r="156" spans="2:14" s="302" customFormat="1" ht="15">
      <c r="B156" s="316" t="s">
        <v>382</v>
      </c>
      <c r="C156" s="316" t="s">
        <v>1396</v>
      </c>
      <c r="D156" s="317">
        <f aca="true" t="shared" si="45" ref="D156:I156">+D157+D166+D173+D179+D184+D191</f>
        <v>3324557</v>
      </c>
      <c r="E156" s="317">
        <f t="shared" si="45"/>
        <v>0</v>
      </c>
      <c r="F156" s="317">
        <f t="shared" si="45"/>
        <v>0</v>
      </c>
      <c r="G156" s="317">
        <f t="shared" si="45"/>
        <v>32979020</v>
      </c>
      <c r="H156" s="317">
        <f t="shared" si="45"/>
        <v>29654463</v>
      </c>
      <c r="I156" s="317">
        <f t="shared" si="45"/>
        <v>0</v>
      </c>
      <c r="J156" s="318">
        <f t="shared" si="42"/>
        <v>-100</v>
      </c>
      <c r="K156" s="319">
        <f>I156-D156</f>
        <v>-3324557</v>
      </c>
      <c r="L156" s="320"/>
      <c r="M156" s="321">
        <f aca="true" t="shared" si="46" ref="M156:M211">D156-E156+F156-G156+H156</f>
        <v>0</v>
      </c>
      <c r="N156" s="321">
        <f aca="true" t="shared" si="47" ref="N156:N211">I156-M156</f>
        <v>0</v>
      </c>
    </row>
    <row r="157" spans="2:14" s="323" customFormat="1" ht="15">
      <c r="B157" s="322" t="s">
        <v>383</v>
      </c>
      <c r="C157" s="316" t="s">
        <v>648</v>
      </c>
      <c r="D157" s="317">
        <f>SUM(D158:D165)</f>
        <v>1864950</v>
      </c>
      <c r="E157" s="317">
        <f>SUM(E158:E165)</f>
        <v>0</v>
      </c>
      <c r="F157" s="317">
        <f>SUM(F158:F165)</f>
        <v>0</v>
      </c>
      <c r="G157" s="317">
        <f>SUM(G158:G165)</f>
        <v>31519413</v>
      </c>
      <c r="H157" s="317">
        <f>SUM(H158:H165)</f>
        <v>29654463</v>
      </c>
      <c r="I157" s="317">
        <f>D157-E157+F157-G157+H157</f>
        <v>0</v>
      </c>
      <c r="J157" s="318">
        <f t="shared" si="42"/>
        <v>-100</v>
      </c>
      <c r="K157" s="319">
        <f t="shared" si="37"/>
        <v>-1864950</v>
      </c>
      <c r="L157" s="320"/>
      <c r="M157" s="321">
        <f t="shared" si="46"/>
        <v>0</v>
      </c>
      <c r="N157" s="321">
        <f t="shared" si="47"/>
        <v>0</v>
      </c>
    </row>
    <row r="158" spans="2:14" s="323" customFormat="1" ht="15">
      <c r="B158" s="322" t="s">
        <v>649</v>
      </c>
      <c r="C158" s="322" t="s">
        <v>650</v>
      </c>
      <c r="D158" s="324">
        <v>0</v>
      </c>
      <c r="E158" s="324">
        <v>0</v>
      </c>
      <c r="F158" s="324">
        <v>0</v>
      </c>
      <c r="G158" s="324">
        <v>0</v>
      </c>
      <c r="H158" s="324">
        <v>0</v>
      </c>
      <c r="I158" s="317">
        <f>D158-E158+F158-G158+H158</f>
        <v>0</v>
      </c>
      <c r="J158" s="318" t="e">
        <f aca="true" t="shared" si="48" ref="J158:J165">(I158-D158)/D158*100</f>
        <v>#DIV/0!</v>
      </c>
      <c r="K158" s="319">
        <f aca="true" t="shared" si="49" ref="K158:K165">I158-D158</f>
        <v>0</v>
      </c>
      <c r="L158" s="320"/>
      <c r="M158" s="325">
        <f t="shared" si="46"/>
        <v>0</v>
      </c>
      <c r="N158" s="325">
        <f t="shared" si="47"/>
        <v>0</v>
      </c>
    </row>
    <row r="159" spans="2:14" s="323" customFormat="1" ht="15">
      <c r="B159" s="322" t="s">
        <v>651</v>
      </c>
      <c r="C159" s="322" t="s">
        <v>652</v>
      </c>
      <c r="D159" s="324">
        <v>0</v>
      </c>
      <c r="E159" s="324">
        <v>0</v>
      </c>
      <c r="F159" s="324">
        <v>0</v>
      </c>
      <c r="G159" s="324">
        <v>0</v>
      </c>
      <c r="H159" s="324">
        <v>0</v>
      </c>
      <c r="I159" s="317">
        <f aca="true" t="shared" si="50" ref="I159:I196">D159-E159+F159-G159+H159</f>
        <v>0</v>
      </c>
      <c r="J159" s="318" t="e">
        <f t="shared" si="48"/>
        <v>#DIV/0!</v>
      </c>
      <c r="K159" s="319">
        <f t="shared" si="49"/>
        <v>0</v>
      </c>
      <c r="L159" s="320"/>
      <c r="M159" s="325">
        <f t="shared" si="46"/>
        <v>0</v>
      </c>
      <c r="N159" s="325">
        <f t="shared" si="47"/>
        <v>0</v>
      </c>
    </row>
    <row r="160" spans="2:14" s="323" customFormat="1" ht="15">
      <c r="B160" s="322" t="s">
        <v>384</v>
      </c>
      <c r="C160" s="322" t="s">
        <v>653</v>
      </c>
      <c r="D160" s="324">
        <v>1723500</v>
      </c>
      <c r="E160" s="324">
        <v>0</v>
      </c>
      <c r="F160" s="324">
        <v>0</v>
      </c>
      <c r="G160" s="324">
        <v>18337825</v>
      </c>
      <c r="H160" s="842">
        <v>16614325</v>
      </c>
      <c r="I160" s="317">
        <f t="shared" si="50"/>
        <v>0</v>
      </c>
      <c r="J160" s="318">
        <f t="shared" si="48"/>
        <v>-100</v>
      </c>
      <c r="K160" s="319">
        <f t="shared" si="49"/>
        <v>-1723500</v>
      </c>
      <c r="L160" s="320"/>
      <c r="M160" s="325">
        <f t="shared" si="46"/>
        <v>0</v>
      </c>
      <c r="N160" s="325">
        <f t="shared" si="47"/>
        <v>0</v>
      </c>
    </row>
    <row r="161" spans="2:14" s="323" customFormat="1" ht="15">
      <c r="B161" s="322" t="s">
        <v>385</v>
      </c>
      <c r="C161" s="322" t="s">
        <v>654</v>
      </c>
      <c r="D161" s="324">
        <v>141450</v>
      </c>
      <c r="E161" s="324">
        <v>0</v>
      </c>
      <c r="F161" s="324">
        <v>0</v>
      </c>
      <c r="G161" s="324">
        <v>13181588</v>
      </c>
      <c r="H161" s="324">
        <v>13040138</v>
      </c>
      <c r="I161" s="317">
        <f t="shared" si="50"/>
        <v>0</v>
      </c>
      <c r="J161" s="318">
        <f t="shared" si="48"/>
        <v>-100</v>
      </c>
      <c r="K161" s="319">
        <f t="shared" si="49"/>
        <v>-141450</v>
      </c>
      <c r="L161" s="320"/>
      <c r="M161" s="325">
        <f t="shared" si="46"/>
        <v>0</v>
      </c>
      <c r="N161" s="325">
        <f t="shared" si="47"/>
        <v>0</v>
      </c>
    </row>
    <row r="162" spans="2:14" s="323" customFormat="1" ht="15">
      <c r="B162" s="322" t="s">
        <v>655</v>
      </c>
      <c r="C162" s="322" t="s">
        <v>656</v>
      </c>
      <c r="D162" s="324">
        <v>0</v>
      </c>
      <c r="E162" s="324">
        <v>0</v>
      </c>
      <c r="F162" s="324">
        <v>0</v>
      </c>
      <c r="G162" s="324">
        <v>0</v>
      </c>
      <c r="H162" s="324">
        <v>0</v>
      </c>
      <c r="I162" s="317">
        <f t="shared" si="50"/>
        <v>0</v>
      </c>
      <c r="J162" s="318" t="e">
        <f t="shared" si="48"/>
        <v>#DIV/0!</v>
      </c>
      <c r="K162" s="319">
        <f t="shared" si="49"/>
        <v>0</v>
      </c>
      <c r="L162" s="320"/>
      <c r="M162" s="325">
        <f t="shared" si="46"/>
        <v>0</v>
      </c>
      <c r="N162" s="325">
        <f t="shared" si="47"/>
        <v>0</v>
      </c>
    </row>
    <row r="163" spans="2:14" s="323" customFormat="1" ht="15">
      <c r="B163" s="322" t="s">
        <v>657</v>
      </c>
      <c r="C163" s="322" t="s">
        <v>658</v>
      </c>
      <c r="D163" s="324">
        <v>0</v>
      </c>
      <c r="E163" s="324">
        <v>0</v>
      </c>
      <c r="F163" s="324">
        <v>0</v>
      </c>
      <c r="G163" s="324">
        <v>0</v>
      </c>
      <c r="H163" s="324">
        <v>0</v>
      </c>
      <c r="I163" s="317">
        <f t="shared" si="50"/>
        <v>0</v>
      </c>
      <c r="J163" s="318" t="e">
        <f t="shared" si="48"/>
        <v>#DIV/0!</v>
      </c>
      <c r="K163" s="319">
        <f t="shared" si="49"/>
        <v>0</v>
      </c>
      <c r="L163" s="320"/>
      <c r="M163" s="325">
        <f t="shared" si="46"/>
        <v>0</v>
      </c>
      <c r="N163" s="325">
        <f t="shared" si="47"/>
        <v>0</v>
      </c>
    </row>
    <row r="164" spans="2:14" s="323" customFormat="1" ht="15">
      <c r="B164" s="322" t="s">
        <v>386</v>
      </c>
      <c r="C164" s="322" t="s">
        <v>659</v>
      </c>
      <c r="D164" s="324">
        <v>0</v>
      </c>
      <c r="E164" s="324">
        <v>0</v>
      </c>
      <c r="F164" s="324">
        <v>0</v>
      </c>
      <c r="G164" s="324">
        <v>0</v>
      </c>
      <c r="H164" s="324">
        <v>0</v>
      </c>
      <c r="I164" s="317">
        <f t="shared" si="50"/>
        <v>0</v>
      </c>
      <c r="J164" s="318" t="e">
        <f t="shared" si="48"/>
        <v>#DIV/0!</v>
      </c>
      <c r="K164" s="319">
        <f t="shared" si="49"/>
        <v>0</v>
      </c>
      <c r="L164" s="320"/>
      <c r="M164" s="325">
        <f t="shared" si="46"/>
        <v>0</v>
      </c>
      <c r="N164" s="325">
        <f t="shared" si="47"/>
        <v>0</v>
      </c>
    </row>
    <row r="165" spans="2:14" s="323" customFormat="1" ht="15">
      <c r="B165" s="322" t="s">
        <v>660</v>
      </c>
      <c r="C165" s="322" t="s">
        <v>661</v>
      </c>
      <c r="D165" s="324">
        <v>0</v>
      </c>
      <c r="E165" s="324">
        <v>0</v>
      </c>
      <c r="F165" s="324">
        <v>0</v>
      </c>
      <c r="G165" s="324">
        <v>0</v>
      </c>
      <c r="H165" s="324">
        <v>0</v>
      </c>
      <c r="I165" s="317">
        <f t="shared" si="50"/>
        <v>0</v>
      </c>
      <c r="J165" s="318" t="e">
        <f t="shared" si="48"/>
        <v>#DIV/0!</v>
      </c>
      <c r="K165" s="319">
        <f t="shared" si="49"/>
        <v>0</v>
      </c>
      <c r="L165" s="320"/>
      <c r="M165" s="325">
        <f t="shared" si="46"/>
        <v>0</v>
      </c>
      <c r="N165" s="325">
        <f t="shared" si="47"/>
        <v>0</v>
      </c>
    </row>
    <row r="166" spans="2:14" s="323" customFormat="1" ht="15">
      <c r="B166" s="322" t="s">
        <v>387</v>
      </c>
      <c r="C166" s="316" t="s">
        <v>662</v>
      </c>
      <c r="D166" s="317">
        <f aca="true" t="shared" si="51" ref="D166:I166">SUM(D167:D172)</f>
        <v>0</v>
      </c>
      <c r="E166" s="317">
        <f t="shared" si="51"/>
        <v>0</v>
      </c>
      <c r="F166" s="317">
        <f t="shared" si="51"/>
        <v>0</v>
      </c>
      <c r="G166" s="317">
        <f t="shared" si="51"/>
        <v>0</v>
      </c>
      <c r="H166" s="317">
        <f t="shared" si="51"/>
        <v>0</v>
      </c>
      <c r="I166" s="317">
        <f t="shared" si="51"/>
        <v>0</v>
      </c>
      <c r="J166" s="318" t="e">
        <f>(I166-D166)/D166*100</f>
        <v>#DIV/0!</v>
      </c>
      <c r="K166" s="319">
        <f t="shared" si="37"/>
        <v>0</v>
      </c>
      <c r="L166" s="320"/>
      <c r="M166" s="325">
        <f t="shared" si="46"/>
        <v>0</v>
      </c>
      <c r="N166" s="325">
        <f t="shared" si="47"/>
        <v>0</v>
      </c>
    </row>
    <row r="167" spans="2:14" s="323" customFormat="1" ht="15">
      <c r="B167" s="322" t="s">
        <v>663</v>
      </c>
      <c r="C167" s="322" t="s">
        <v>664</v>
      </c>
      <c r="D167" s="324">
        <v>0</v>
      </c>
      <c r="E167" s="324">
        <v>0</v>
      </c>
      <c r="F167" s="324">
        <v>0</v>
      </c>
      <c r="G167" s="324">
        <v>0</v>
      </c>
      <c r="H167" s="324">
        <v>0</v>
      </c>
      <c r="I167" s="317">
        <f t="shared" si="50"/>
        <v>0</v>
      </c>
      <c r="J167" s="318" t="e">
        <f aca="true" t="shared" si="52" ref="J167:J172">(I167-D167)/D167*100</f>
        <v>#DIV/0!</v>
      </c>
      <c r="K167" s="319">
        <f t="shared" si="37"/>
        <v>0</v>
      </c>
      <c r="L167" s="320"/>
      <c r="M167" s="325">
        <f t="shared" si="46"/>
        <v>0</v>
      </c>
      <c r="N167" s="325">
        <f t="shared" si="47"/>
        <v>0</v>
      </c>
    </row>
    <row r="168" spans="2:14" s="323" customFormat="1" ht="30">
      <c r="B168" s="322" t="s">
        <v>665</v>
      </c>
      <c r="C168" s="322" t="s">
        <v>666</v>
      </c>
      <c r="D168" s="324">
        <v>0</v>
      </c>
      <c r="E168" s="324">
        <v>0</v>
      </c>
      <c r="F168" s="324">
        <v>0</v>
      </c>
      <c r="G168" s="324">
        <v>0</v>
      </c>
      <c r="H168" s="324">
        <v>0</v>
      </c>
      <c r="I168" s="317">
        <f t="shared" si="50"/>
        <v>0</v>
      </c>
      <c r="J168" s="318" t="e">
        <f t="shared" si="52"/>
        <v>#DIV/0!</v>
      </c>
      <c r="K168" s="319">
        <f t="shared" si="37"/>
        <v>0</v>
      </c>
      <c r="L168" s="320"/>
      <c r="M168" s="325">
        <f t="shared" si="46"/>
        <v>0</v>
      </c>
      <c r="N168" s="325">
        <f t="shared" si="47"/>
        <v>0</v>
      </c>
    </row>
    <row r="169" spans="2:14" s="323" customFormat="1" ht="15">
      <c r="B169" s="322" t="s">
        <v>667</v>
      </c>
      <c r="C169" s="322" t="s">
        <v>668</v>
      </c>
      <c r="D169" s="324">
        <v>0</v>
      </c>
      <c r="E169" s="324">
        <v>0</v>
      </c>
      <c r="F169" s="324">
        <v>0</v>
      </c>
      <c r="G169" s="324">
        <v>0</v>
      </c>
      <c r="H169" s="324">
        <v>0</v>
      </c>
      <c r="I169" s="317">
        <f t="shared" si="50"/>
        <v>0</v>
      </c>
      <c r="J169" s="318" t="e">
        <f t="shared" si="52"/>
        <v>#DIV/0!</v>
      </c>
      <c r="K169" s="319">
        <f t="shared" si="37"/>
        <v>0</v>
      </c>
      <c r="L169" s="320"/>
      <c r="M169" s="325">
        <f t="shared" si="46"/>
        <v>0</v>
      </c>
      <c r="N169" s="325">
        <f t="shared" si="47"/>
        <v>0</v>
      </c>
    </row>
    <row r="170" spans="2:14" s="323" customFormat="1" ht="30">
      <c r="B170" s="322" t="s">
        <v>669</v>
      </c>
      <c r="C170" s="322" t="s">
        <v>670</v>
      </c>
      <c r="D170" s="324">
        <v>0</v>
      </c>
      <c r="E170" s="324">
        <v>0</v>
      </c>
      <c r="F170" s="324">
        <v>0</v>
      </c>
      <c r="G170" s="324">
        <v>0</v>
      </c>
      <c r="H170" s="324">
        <v>0</v>
      </c>
      <c r="I170" s="317">
        <f t="shared" si="50"/>
        <v>0</v>
      </c>
      <c r="J170" s="318" t="e">
        <f t="shared" si="52"/>
        <v>#DIV/0!</v>
      </c>
      <c r="K170" s="319">
        <f t="shared" si="37"/>
        <v>0</v>
      </c>
      <c r="L170" s="320"/>
      <c r="M170" s="325">
        <f t="shared" si="46"/>
        <v>0</v>
      </c>
      <c r="N170" s="325">
        <f t="shared" si="47"/>
        <v>0</v>
      </c>
    </row>
    <row r="171" spans="2:14" s="323" customFormat="1" ht="15">
      <c r="B171" s="322" t="s">
        <v>671</v>
      </c>
      <c r="C171" s="322" t="s">
        <v>672</v>
      </c>
      <c r="D171" s="324">
        <v>0</v>
      </c>
      <c r="E171" s="324">
        <v>0</v>
      </c>
      <c r="F171" s="324">
        <v>0</v>
      </c>
      <c r="G171" s="324">
        <v>0</v>
      </c>
      <c r="H171" s="324">
        <v>0</v>
      </c>
      <c r="I171" s="317">
        <f t="shared" si="50"/>
        <v>0</v>
      </c>
      <c r="J171" s="318" t="e">
        <f t="shared" si="52"/>
        <v>#DIV/0!</v>
      </c>
      <c r="K171" s="319">
        <f t="shared" si="37"/>
        <v>0</v>
      </c>
      <c r="L171" s="320"/>
      <c r="M171" s="325">
        <f t="shared" si="46"/>
        <v>0</v>
      </c>
      <c r="N171" s="325">
        <f t="shared" si="47"/>
        <v>0</v>
      </c>
    </row>
    <row r="172" spans="2:14" s="323" customFormat="1" ht="15">
      <c r="B172" s="322" t="s">
        <v>673</v>
      </c>
      <c r="C172" s="322" t="s">
        <v>674</v>
      </c>
      <c r="D172" s="324">
        <v>0</v>
      </c>
      <c r="E172" s="324">
        <v>0</v>
      </c>
      <c r="F172" s="324">
        <v>0</v>
      </c>
      <c r="G172" s="324">
        <v>0</v>
      </c>
      <c r="H172" s="324">
        <v>0</v>
      </c>
      <c r="I172" s="317">
        <f t="shared" si="50"/>
        <v>0</v>
      </c>
      <c r="J172" s="318" t="e">
        <f t="shared" si="52"/>
        <v>#DIV/0!</v>
      </c>
      <c r="K172" s="319">
        <f t="shared" si="37"/>
        <v>0</v>
      </c>
      <c r="L172" s="320"/>
      <c r="M172" s="325">
        <f t="shared" si="46"/>
        <v>0</v>
      </c>
      <c r="N172" s="325">
        <f t="shared" si="47"/>
        <v>0</v>
      </c>
    </row>
    <row r="173" spans="2:14" s="323" customFormat="1" ht="15">
      <c r="B173" s="322" t="s">
        <v>388</v>
      </c>
      <c r="C173" s="316" t="s">
        <v>675</v>
      </c>
      <c r="D173" s="317">
        <f aca="true" t="shared" si="53" ref="D173:I173">SUM(D174:D178)</f>
        <v>0</v>
      </c>
      <c r="E173" s="317">
        <f t="shared" si="53"/>
        <v>0</v>
      </c>
      <c r="F173" s="317">
        <f t="shared" si="53"/>
        <v>0</v>
      </c>
      <c r="G173" s="317">
        <f t="shared" si="53"/>
        <v>0</v>
      </c>
      <c r="H173" s="317">
        <f t="shared" si="53"/>
        <v>0</v>
      </c>
      <c r="I173" s="317">
        <f t="shared" si="53"/>
        <v>0</v>
      </c>
      <c r="J173" s="318" t="e">
        <f aca="true" t="shared" si="54" ref="J173:J191">(I173-D173)/D173*100</f>
        <v>#DIV/0!</v>
      </c>
      <c r="K173" s="319">
        <f>I173-D173</f>
        <v>0</v>
      </c>
      <c r="L173" s="320"/>
      <c r="M173" s="325">
        <f t="shared" si="46"/>
        <v>0</v>
      </c>
      <c r="N173" s="325">
        <f t="shared" si="47"/>
        <v>0</v>
      </c>
    </row>
    <row r="174" spans="2:14" s="323" customFormat="1" ht="30">
      <c r="B174" s="322" t="s">
        <v>676</v>
      </c>
      <c r="C174" s="322" t="s">
        <v>677</v>
      </c>
      <c r="D174" s="324">
        <v>0</v>
      </c>
      <c r="E174" s="324">
        <v>0</v>
      </c>
      <c r="F174" s="324">
        <v>0</v>
      </c>
      <c r="G174" s="324">
        <v>0</v>
      </c>
      <c r="H174" s="324">
        <v>0</v>
      </c>
      <c r="I174" s="317">
        <f t="shared" si="50"/>
        <v>0</v>
      </c>
      <c r="J174" s="318" t="e">
        <f t="shared" si="54"/>
        <v>#DIV/0!</v>
      </c>
      <c r="K174" s="319">
        <f aca="true" t="shared" si="55" ref="K174:K179">I174-D174</f>
        <v>0</v>
      </c>
      <c r="L174" s="320"/>
      <c r="M174" s="325">
        <f t="shared" si="46"/>
        <v>0</v>
      </c>
      <c r="N174" s="325">
        <f t="shared" si="47"/>
        <v>0</v>
      </c>
    </row>
    <row r="175" spans="2:14" s="323" customFormat="1" ht="30">
      <c r="B175" s="322" t="s">
        <v>678</v>
      </c>
      <c r="C175" s="322" t="s">
        <v>679</v>
      </c>
      <c r="D175" s="324">
        <v>0</v>
      </c>
      <c r="E175" s="324">
        <v>0</v>
      </c>
      <c r="F175" s="324">
        <v>0</v>
      </c>
      <c r="G175" s="324">
        <v>0</v>
      </c>
      <c r="H175" s="324">
        <v>0</v>
      </c>
      <c r="I175" s="317">
        <f t="shared" si="50"/>
        <v>0</v>
      </c>
      <c r="J175" s="318" t="e">
        <f t="shared" si="54"/>
        <v>#DIV/0!</v>
      </c>
      <c r="K175" s="319">
        <f t="shared" si="55"/>
        <v>0</v>
      </c>
      <c r="L175" s="320"/>
      <c r="M175" s="325">
        <f t="shared" si="46"/>
        <v>0</v>
      </c>
      <c r="N175" s="325">
        <f t="shared" si="47"/>
        <v>0</v>
      </c>
    </row>
    <row r="176" spans="2:14" s="323" customFormat="1" ht="15">
      <c r="B176" s="322" t="s">
        <v>680</v>
      </c>
      <c r="C176" s="322" t="s">
        <v>681</v>
      </c>
      <c r="D176" s="324">
        <v>0</v>
      </c>
      <c r="E176" s="324">
        <v>0</v>
      </c>
      <c r="F176" s="324">
        <v>0</v>
      </c>
      <c r="G176" s="324">
        <v>0</v>
      </c>
      <c r="H176" s="324">
        <v>0</v>
      </c>
      <c r="I176" s="317">
        <f t="shared" si="50"/>
        <v>0</v>
      </c>
      <c r="J176" s="318" t="e">
        <f t="shared" si="54"/>
        <v>#DIV/0!</v>
      </c>
      <c r="K176" s="319">
        <f t="shared" si="55"/>
        <v>0</v>
      </c>
      <c r="L176" s="320"/>
      <c r="M176" s="325">
        <f t="shared" si="46"/>
        <v>0</v>
      </c>
      <c r="N176" s="325">
        <f t="shared" si="47"/>
        <v>0</v>
      </c>
    </row>
    <row r="177" spans="2:14" s="323" customFormat="1" ht="30">
      <c r="B177" s="322" t="s">
        <v>682</v>
      </c>
      <c r="C177" s="322" t="s">
        <v>683</v>
      </c>
      <c r="D177" s="324">
        <v>0</v>
      </c>
      <c r="E177" s="324">
        <v>0</v>
      </c>
      <c r="F177" s="324">
        <v>0</v>
      </c>
      <c r="G177" s="324">
        <v>0</v>
      </c>
      <c r="H177" s="324">
        <v>0</v>
      </c>
      <c r="I177" s="317">
        <f t="shared" si="50"/>
        <v>0</v>
      </c>
      <c r="J177" s="318" t="e">
        <f t="shared" si="54"/>
        <v>#DIV/0!</v>
      </c>
      <c r="K177" s="319">
        <f t="shared" si="55"/>
        <v>0</v>
      </c>
      <c r="L177" s="320"/>
      <c r="M177" s="325">
        <f t="shared" si="46"/>
        <v>0</v>
      </c>
      <c r="N177" s="325">
        <f t="shared" si="47"/>
        <v>0</v>
      </c>
    </row>
    <row r="178" spans="2:14" s="323" customFormat="1" ht="30">
      <c r="B178" s="322" t="s">
        <v>684</v>
      </c>
      <c r="C178" s="322" t="s">
        <v>685</v>
      </c>
      <c r="D178" s="324">
        <v>0</v>
      </c>
      <c r="E178" s="324">
        <v>0</v>
      </c>
      <c r="F178" s="324">
        <v>0</v>
      </c>
      <c r="G178" s="324">
        <v>0</v>
      </c>
      <c r="H178" s="324">
        <v>0</v>
      </c>
      <c r="I178" s="317">
        <f t="shared" si="50"/>
        <v>0</v>
      </c>
      <c r="J178" s="318" t="e">
        <f t="shared" si="54"/>
        <v>#DIV/0!</v>
      </c>
      <c r="K178" s="319">
        <f t="shared" si="55"/>
        <v>0</v>
      </c>
      <c r="L178" s="320"/>
      <c r="M178" s="325">
        <f t="shared" si="46"/>
        <v>0</v>
      </c>
      <c r="N178" s="325">
        <f t="shared" si="47"/>
        <v>0</v>
      </c>
    </row>
    <row r="179" spans="2:14" s="302" customFormat="1" ht="15">
      <c r="B179" s="316" t="s">
        <v>389</v>
      </c>
      <c r="C179" s="316" t="s">
        <v>686</v>
      </c>
      <c r="D179" s="317">
        <f aca="true" t="shared" si="56" ref="D179:I179">SUM(D180:D183)</f>
        <v>0</v>
      </c>
      <c r="E179" s="317">
        <f t="shared" si="56"/>
        <v>0</v>
      </c>
      <c r="F179" s="317">
        <f t="shared" si="56"/>
        <v>0</v>
      </c>
      <c r="G179" s="317">
        <f t="shared" si="56"/>
        <v>0</v>
      </c>
      <c r="H179" s="317">
        <f t="shared" si="56"/>
        <v>0</v>
      </c>
      <c r="I179" s="317">
        <f t="shared" si="56"/>
        <v>0</v>
      </c>
      <c r="J179" s="318" t="e">
        <f t="shared" si="54"/>
        <v>#DIV/0!</v>
      </c>
      <c r="K179" s="319">
        <f t="shared" si="55"/>
        <v>0</v>
      </c>
      <c r="L179" s="320"/>
      <c r="M179" s="325">
        <f t="shared" si="46"/>
        <v>0</v>
      </c>
      <c r="N179" s="325">
        <f t="shared" si="47"/>
        <v>0</v>
      </c>
    </row>
    <row r="180" spans="2:14" s="323" customFormat="1" ht="30">
      <c r="B180" s="322" t="s">
        <v>687</v>
      </c>
      <c r="C180" s="322" t="s">
        <v>688</v>
      </c>
      <c r="D180" s="324">
        <v>0</v>
      </c>
      <c r="E180" s="324">
        <v>0</v>
      </c>
      <c r="F180" s="324">
        <v>0</v>
      </c>
      <c r="G180" s="324">
        <v>0</v>
      </c>
      <c r="H180" s="324">
        <v>0</v>
      </c>
      <c r="I180" s="317">
        <f t="shared" si="50"/>
        <v>0</v>
      </c>
      <c r="J180" s="318" t="e">
        <f t="shared" si="54"/>
        <v>#DIV/0!</v>
      </c>
      <c r="K180" s="319">
        <f>I180-D180</f>
        <v>0</v>
      </c>
      <c r="L180" s="320"/>
      <c r="M180" s="325">
        <f t="shared" si="46"/>
        <v>0</v>
      </c>
      <c r="N180" s="325">
        <f t="shared" si="47"/>
        <v>0</v>
      </c>
    </row>
    <row r="181" spans="2:14" s="323" customFormat="1" ht="30">
      <c r="B181" s="322" t="s">
        <v>689</v>
      </c>
      <c r="C181" s="322" t="s">
        <v>690</v>
      </c>
      <c r="D181" s="324">
        <v>0</v>
      </c>
      <c r="E181" s="324">
        <v>0</v>
      </c>
      <c r="F181" s="324">
        <v>0</v>
      </c>
      <c r="G181" s="324">
        <v>0</v>
      </c>
      <c r="H181" s="324">
        <v>0</v>
      </c>
      <c r="I181" s="317">
        <f t="shared" si="50"/>
        <v>0</v>
      </c>
      <c r="J181" s="318" t="e">
        <f t="shared" si="54"/>
        <v>#DIV/0!</v>
      </c>
      <c r="K181" s="319">
        <f>I181-D181</f>
        <v>0</v>
      </c>
      <c r="L181" s="320"/>
      <c r="M181" s="325">
        <f t="shared" si="46"/>
        <v>0</v>
      </c>
      <c r="N181" s="325">
        <f t="shared" si="47"/>
        <v>0</v>
      </c>
    </row>
    <row r="182" spans="2:14" s="323" customFormat="1" ht="30">
      <c r="B182" s="322" t="s">
        <v>691</v>
      </c>
      <c r="C182" s="322" t="s">
        <v>692</v>
      </c>
      <c r="D182" s="324">
        <v>0</v>
      </c>
      <c r="E182" s="324">
        <v>0</v>
      </c>
      <c r="F182" s="324">
        <v>0</v>
      </c>
      <c r="G182" s="324">
        <v>0</v>
      </c>
      <c r="H182" s="324">
        <v>0</v>
      </c>
      <c r="I182" s="317">
        <f t="shared" si="50"/>
        <v>0</v>
      </c>
      <c r="J182" s="318" t="e">
        <f t="shared" si="54"/>
        <v>#DIV/0!</v>
      </c>
      <c r="K182" s="319">
        <f>I182-D182</f>
        <v>0</v>
      </c>
      <c r="L182" s="320"/>
      <c r="M182" s="325">
        <f t="shared" si="46"/>
        <v>0</v>
      </c>
      <c r="N182" s="325">
        <f t="shared" si="47"/>
        <v>0</v>
      </c>
    </row>
    <row r="183" spans="2:14" s="323" customFormat="1" ht="15">
      <c r="B183" s="322" t="s">
        <v>693</v>
      </c>
      <c r="C183" s="322" t="s">
        <v>694</v>
      </c>
      <c r="D183" s="324">
        <v>0</v>
      </c>
      <c r="E183" s="324">
        <v>0</v>
      </c>
      <c r="F183" s="324">
        <v>0</v>
      </c>
      <c r="G183" s="324">
        <v>0</v>
      </c>
      <c r="H183" s="324">
        <v>0</v>
      </c>
      <c r="I183" s="317">
        <f t="shared" si="50"/>
        <v>0</v>
      </c>
      <c r="J183" s="318" t="e">
        <f t="shared" si="54"/>
        <v>#DIV/0!</v>
      </c>
      <c r="K183" s="319">
        <f>I183-D183</f>
        <v>0</v>
      </c>
      <c r="L183" s="320"/>
      <c r="M183" s="325">
        <f t="shared" si="46"/>
        <v>0</v>
      </c>
      <c r="N183" s="325">
        <f t="shared" si="47"/>
        <v>0</v>
      </c>
    </row>
    <row r="184" spans="2:14" s="302" customFormat="1" ht="15">
      <c r="B184" s="316" t="s">
        <v>390</v>
      </c>
      <c r="C184" s="316" t="s">
        <v>695</v>
      </c>
      <c r="D184" s="317">
        <f aca="true" t="shared" si="57" ref="D184:I184">SUM(D185:D190)</f>
        <v>1459607</v>
      </c>
      <c r="E184" s="317">
        <f t="shared" si="57"/>
        <v>0</v>
      </c>
      <c r="F184" s="317">
        <f t="shared" si="57"/>
        <v>0</v>
      </c>
      <c r="G184" s="317">
        <f t="shared" si="57"/>
        <v>1459607</v>
      </c>
      <c r="H184" s="317">
        <f t="shared" si="57"/>
        <v>0</v>
      </c>
      <c r="I184" s="317">
        <f t="shared" si="57"/>
        <v>0</v>
      </c>
      <c r="J184" s="318">
        <f t="shared" si="54"/>
        <v>-100</v>
      </c>
      <c r="K184" s="319">
        <f>I184-D184</f>
        <v>-1459607</v>
      </c>
      <c r="L184" s="320"/>
      <c r="M184" s="325">
        <f t="shared" si="46"/>
        <v>0</v>
      </c>
      <c r="N184" s="325">
        <f t="shared" si="47"/>
        <v>0</v>
      </c>
    </row>
    <row r="185" spans="2:14" s="323" customFormat="1" ht="15">
      <c r="B185" s="322" t="s">
        <v>391</v>
      </c>
      <c r="C185" s="322" t="s">
        <v>696</v>
      </c>
      <c r="D185" s="324">
        <v>0</v>
      </c>
      <c r="E185" s="324">
        <v>0</v>
      </c>
      <c r="F185" s="324">
        <v>0</v>
      </c>
      <c r="G185" s="324">
        <v>0</v>
      </c>
      <c r="H185" s="324">
        <v>0</v>
      </c>
      <c r="I185" s="317">
        <f t="shared" si="50"/>
        <v>0</v>
      </c>
      <c r="J185" s="318" t="e">
        <f t="shared" si="54"/>
        <v>#DIV/0!</v>
      </c>
      <c r="K185" s="319">
        <f t="shared" si="37"/>
        <v>0</v>
      </c>
      <c r="L185" s="320"/>
      <c r="M185" s="325">
        <f t="shared" si="46"/>
        <v>0</v>
      </c>
      <c r="N185" s="325">
        <f t="shared" si="47"/>
        <v>0</v>
      </c>
    </row>
    <row r="186" spans="2:14" s="323" customFormat="1" ht="15">
      <c r="B186" s="322" t="s">
        <v>392</v>
      </c>
      <c r="C186" s="322" t="s">
        <v>697</v>
      </c>
      <c r="D186" s="324">
        <v>1459607</v>
      </c>
      <c r="E186" s="324">
        <v>0</v>
      </c>
      <c r="F186" s="324">
        <v>0</v>
      </c>
      <c r="G186" s="324">
        <v>1459607</v>
      </c>
      <c r="H186" s="324">
        <v>0</v>
      </c>
      <c r="I186" s="317">
        <f t="shared" si="50"/>
        <v>0</v>
      </c>
      <c r="J186" s="318">
        <f t="shared" si="54"/>
        <v>-100</v>
      </c>
      <c r="K186" s="319">
        <f t="shared" si="37"/>
        <v>-1459607</v>
      </c>
      <c r="L186" s="320"/>
      <c r="M186" s="325">
        <f t="shared" si="46"/>
        <v>0</v>
      </c>
      <c r="N186" s="325">
        <f t="shared" si="47"/>
        <v>0</v>
      </c>
    </row>
    <row r="187" spans="2:14" s="323" customFormat="1" ht="15">
      <c r="B187" s="322" t="s">
        <v>393</v>
      </c>
      <c r="C187" s="322" t="s">
        <v>698</v>
      </c>
      <c r="D187" s="324">
        <v>0</v>
      </c>
      <c r="E187" s="324">
        <v>0</v>
      </c>
      <c r="F187" s="324">
        <v>0</v>
      </c>
      <c r="G187" s="324">
        <v>0</v>
      </c>
      <c r="H187" s="324">
        <v>0</v>
      </c>
      <c r="I187" s="317">
        <f t="shared" si="50"/>
        <v>0</v>
      </c>
      <c r="J187" s="318" t="e">
        <f t="shared" si="54"/>
        <v>#DIV/0!</v>
      </c>
      <c r="K187" s="319">
        <f t="shared" si="37"/>
        <v>0</v>
      </c>
      <c r="L187" s="320"/>
      <c r="M187" s="325">
        <f t="shared" si="46"/>
        <v>0</v>
      </c>
      <c r="N187" s="325">
        <f t="shared" si="47"/>
        <v>0</v>
      </c>
    </row>
    <row r="188" spans="2:14" s="323" customFormat="1" ht="15">
      <c r="B188" s="322" t="s">
        <v>699</v>
      </c>
      <c r="C188" s="322" t="s">
        <v>700</v>
      </c>
      <c r="D188" s="324">
        <v>0</v>
      </c>
      <c r="E188" s="324">
        <v>0</v>
      </c>
      <c r="F188" s="324">
        <v>0</v>
      </c>
      <c r="G188" s="324">
        <v>0</v>
      </c>
      <c r="H188" s="324">
        <v>0</v>
      </c>
      <c r="I188" s="317">
        <f t="shared" si="50"/>
        <v>0</v>
      </c>
      <c r="J188" s="318" t="e">
        <f t="shared" si="54"/>
        <v>#DIV/0!</v>
      </c>
      <c r="K188" s="319">
        <f t="shared" si="37"/>
        <v>0</v>
      </c>
      <c r="L188" s="320"/>
      <c r="M188" s="325">
        <f t="shared" si="46"/>
        <v>0</v>
      </c>
      <c r="N188" s="325">
        <f t="shared" si="47"/>
        <v>0</v>
      </c>
    </row>
    <row r="189" spans="2:14" s="323" customFormat="1" ht="30">
      <c r="B189" s="322" t="s">
        <v>701</v>
      </c>
      <c r="C189" s="322" t="s">
        <v>702</v>
      </c>
      <c r="D189" s="324">
        <v>0</v>
      </c>
      <c r="E189" s="324">
        <v>0</v>
      </c>
      <c r="F189" s="324">
        <v>0</v>
      </c>
      <c r="G189" s="324">
        <v>0</v>
      </c>
      <c r="H189" s="324">
        <v>0</v>
      </c>
      <c r="I189" s="317">
        <f t="shared" si="50"/>
        <v>0</v>
      </c>
      <c r="J189" s="318" t="e">
        <f t="shared" si="54"/>
        <v>#DIV/0!</v>
      </c>
      <c r="K189" s="319">
        <f t="shared" si="37"/>
        <v>0</v>
      </c>
      <c r="L189" s="320"/>
      <c r="M189" s="325">
        <f t="shared" si="46"/>
        <v>0</v>
      </c>
      <c r="N189" s="325">
        <f t="shared" si="47"/>
        <v>0</v>
      </c>
    </row>
    <row r="190" spans="2:14" s="323" customFormat="1" ht="15">
      <c r="B190" s="322" t="s">
        <v>703</v>
      </c>
      <c r="C190" s="322" t="s">
        <v>704</v>
      </c>
      <c r="D190" s="324">
        <v>0</v>
      </c>
      <c r="E190" s="324">
        <v>0</v>
      </c>
      <c r="F190" s="324">
        <v>0</v>
      </c>
      <c r="G190" s="324">
        <v>0</v>
      </c>
      <c r="H190" s="324">
        <v>0</v>
      </c>
      <c r="I190" s="317">
        <f t="shared" si="50"/>
        <v>0</v>
      </c>
      <c r="J190" s="318" t="e">
        <f t="shared" si="54"/>
        <v>#DIV/0!</v>
      </c>
      <c r="K190" s="319">
        <f t="shared" si="37"/>
        <v>0</v>
      </c>
      <c r="L190" s="320"/>
      <c r="M190" s="325">
        <f t="shared" si="46"/>
        <v>0</v>
      </c>
      <c r="N190" s="325">
        <f t="shared" si="47"/>
        <v>0</v>
      </c>
    </row>
    <row r="191" spans="2:14" s="302" customFormat="1" ht="15">
      <c r="B191" s="316" t="s">
        <v>705</v>
      </c>
      <c r="C191" s="316" t="s">
        <v>706</v>
      </c>
      <c r="D191" s="317">
        <f aca="true" t="shared" si="58" ref="D191:I191">SUM(D192:D196)</f>
        <v>0</v>
      </c>
      <c r="E191" s="317">
        <f t="shared" si="58"/>
        <v>0</v>
      </c>
      <c r="F191" s="317">
        <f t="shared" si="58"/>
        <v>0</v>
      </c>
      <c r="G191" s="317">
        <f t="shared" si="58"/>
        <v>0</v>
      </c>
      <c r="H191" s="317">
        <f t="shared" si="58"/>
        <v>0</v>
      </c>
      <c r="I191" s="317">
        <f t="shared" si="58"/>
        <v>0</v>
      </c>
      <c r="J191" s="318" t="e">
        <f t="shared" si="54"/>
        <v>#DIV/0!</v>
      </c>
      <c r="K191" s="319">
        <f t="shared" si="37"/>
        <v>0</v>
      </c>
      <c r="L191" s="320"/>
      <c r="M191" s="325">
        <f t="shared" si="46"/>
        <v>0</v>
      </c>
      <c r="N191" s="325">
        <f t="shared" si="47"/>
        <v>0</v>
      </c>
    </row>
    <row r="192" spans="2:14" s="323" customFormat="1" ht="15">
      <c r="B192" s="322" t="s">
        <v>707</v>
      </c>
      <c r="C192" s="322" t="s">
        <v>708</v>
      </c>
      <c r="D192" s="324">
        <v>0</v>
      </c>
      <c r="E192" s="324">
        <v>0</v>
      </c>
      <c r="F192" s="324">
        <v>0</v>
      </c>
      <c r="G192" s="324">
        <v>0</v>
      </c>
      <c r="H192" s="324">
        <v>0</v>
      </c>
      <c r="I192" s="317">
        <f t="shared" si="50"/>
        <v>0</v>
      </c>
      <c r="J192" s="318" t="e">
        <f aca="true" t="shared" si="59" ref="J192:J197">(I192-D192)/D192*100</f>
        <v>#DIV/0!</v>
      </c>
      <c r="K192" s="319">
        <f aca="true" t="shared" si="60" ref="K192:K197">I192-D192</f>
        <v>0</v>
      </c>
      <c r="L192" s="320"/>
      <c r="M192" s="325">
        <f t="shared" si="46"/>
        <v>0</v>
      </c>
      <c r="N192" s="325">
        <f t="shared" si="47"/>
        <v>0</v>
      </c>
    </row>
    <row r="193" spans="2:14" s="323" customFormat="1" ht="15">
      <c r="B193" s="322" t="s">
        <v>709</v>
      </c>
      <c r="C193" s="322" t="s">
        <v>710</v>
      </c>
      <c r="D193" s="324">
        <v>0</v>
      </c>
      <c r="E193" s="324">
        <v>0</v>
      </c>
      <c r="F193" s="324">
        <v>0</v>
      </c>
      <c r="G193" s="324">
        <v>0</v>
      </c>
      <c r="H193" s="324">
        <v>0</v>
      </c>
      <c r="I193" s="317">
        <f t="shared" si="50"/>
        <v>0</v>
      </c>
      <c r="J193" s="318" t="e">
        <f t="shared" si="59"/>
        <v>#DIV/0!</v>
      </c>
      <c r="K193" s="319">
        <f t="shared" si="60"/>
        <v>0</v>
      </c>
      <c r="L193" s="320"/>
      <c r="M193" s="325">
        <f t="shared" si="46"/>
        <v>0</v>
      </c>
      <c r="N193" s="325">
        <f t="shared" si="47"/>
        <v>0</v>
      </c>
    </row>
    <row r="194" spans="2:14" s="323" customFormat="1" ht="30">
      <c r="B194" s="322" t="s">
        <v>711</v>
      </c>
      <c r="C194" s="322" t="s">
        <v>712</v>
      </c>
      <c r="D194" s="324">
        <v>0</v>
      </c>
      <c r="E194" s="324">
        <v>0</v>
      </c>
      <c r="F194" s="324">
        <v>0</v>
      </c>
      <c r="G194" s="324">
        <v>0</v>
      </c>
      <c r="H194" s="324">
        <v>0</v>
      </c>
      <c r="I194" s="317">
        <f t="shared" si="50"/>
        <v>0</v>
      </c>
      <c r="J194" s="318" t="e">
        <f t="shared" si="59"/>
        <v>#DIV/0!</v>
      </c>
      <c r="K194" s="319">
        <f t="shared" si="60"/>
        <v>0</v>
      </c>
      <c r="L194" s="320"/>
      <c r="M194" s="325">
        <f t="shared" si="46"/>
        <v>0</v>
      </c>
      <c r="N194" s="325">
        <f t="shared" si="47"/>
        <v>0</v>
      </c>
    </row>
    <row r="195" spans="2:14" s="323" customFormat="1" ht="15">
      <c r="B195" s="322" t="s">
        <v>713</v>
      </c>
      <c r="C195" s="322" t="s">
        <v>714</v>
      </c>
      <c r="D195" s="324">
        <v>0</v>
      </c>
      <c r="E195" s="324">
        <v>0</v>
      </c>
      <c r="F195" s="324">
        <v>0</v>
      </c>
      <c r="G195" s="324">
        <v>0</v>
      </c>
      <c r="H195" s="324">
        <v>0</v>
      </c>
      <c r="I195" s="317">
        <f t="shared" si="50"/>
        <v>0</v>
      </c>
      <c r="J195" s="318" t="e">
        <f t="shared" si="59"/>
        <v>#DIV/0!</v>
      </c>
      <c r="K195" s="319">
        <f t="shared" si="60"/>
        <v>0</v>
      </c>
      <c r="L195" s="320"/>
      <c r="M195" s="325">
        <f t="shared" si="46"/>
        <v>0</v>
      </c>
      <c r="N195" s="325">
        <f t="shared" si="47"/>
        <v>0</v>
      </c>
    </row>
    <row r="196" spans="2:14" s="323" customFormat="1" ht="15">
      <c r="B196" s="322" t="s">
        <v>715</v>
      </c>
      <c r="C196" s="322" t="s">
        <v>706</v>
      </c>
      <c r="D196" s="324">
        <v>0</v>
      </c>
      <c r="E196" s="324">
        <v>0</v>
      </c>
      <c r="F196" s="324">
        <v>0</v>
      </c>
      <c r="G196" s="324">
        <v>0</v>
      </c>
      <c r="H196" s="324">
        <v>0</v>
      </c>
      <c r="I196" s="317">
        <f t="shared" si="50"/>
        <v>0</v>
      </c>
      <c r="J196" s="318" t="e">
        <f t="shared" si="59"/>
        <v>#DIV/0!</v>
      </c>
      <c r="K196" s="319">
        <f t="shared" si="60"/>
        <v>0</v>
      </c>
      <c r="L196" s="320"/>
      <c r="M196" s="325">
        <f t="shared" si="46"/>
        <v>0</v>
      </c>
      <c r="N196" s="325">
        <f t="shared" si="47"/>
        <v>0</v>
      </c>
    </row>
    <row r="197" spans="2:14" s="302" customFormat="1" ht="15">
      <c r="B197" s="316" t="s">
        <v>394</v>
      </c>
      <c r="C197" s="316" t="s">
        <v>1397</v>
      </c>
      <c r="D197" s="317">
        <f aca="true" t="shared" si="61" ref="D197:I197">D198+D205</f>
        <v>0</v>
      </c>
      <c r="E197" s="317">
        <f t="shared" si="61"/>
        <v>0</v>
      </c>
      <c r="F197" s="317">
        <f t="shared" si="61"/>
        <v>0</v>
      </c>
      <c r="G197" s="317">
        <f t="shared" si="61"/>
        <v>0</v>
      </c>
      <c r="H197" s="317">
        <f t="shared" si="61"/>
        <v>0</v>
      </c>
      <c r="I197" s="317">
        <f t="shared" si="61"/>
        <v>0</v>
      </c>
      <c r="J197" s="318" t="e">
        <f t="shared" si="59"/>
        <v>#DIV/0!</v>
      </c>
      <c r="K197" s="319">
        <f t="shared" si="60"/>
        <v>0</v>
      </c>
      <c r="L197" s="320"/>
      <c r="M197" s="325">
        <f t="shared" si="46"/>
        <v>0</v>
      </c>
      <c r="N197" s="325">
        <f t="shared" si="47"/>
        <v>0</v>
      </c>
    </row>
    <row r="198" spans="2:14" s="323" customFormat="1" ht="15">
      <c r="B198" s="322" t="s">
        <v>716</v>
      </c>
      <c r="C198" s="316" t="s">
        <v>717</v>
      </c>
      <c r="D198" s="317">
        <f>SUM(D199:D204)</f>
        <v>0</v>
      </c>
      <c r="E198" s="317">
        <f>+E199+E200+E201+E202+E203+E204</f>
        <v>0</v>
      </c>
      <c r="F198" s="317">
        <f>+F199+F200+F201+F202+F203+F204</f>
        <v>0</v>
      </c>
      <c r="G198" s="317">
        <f>+G199+G200+G201+G202+G203+G204</f>
        <v>0</v>
      </c>
      <c r="H198" s="317">
        <f>+H199+H200+H201+H202+H203+H204</f>
        <v>0</v>
      </c>
      <c r="I198" s="317">
        <f>+I199+I200+I201+I202+I203+I204</f>
        <v>0</v>
      </c>
      <c r="J198" s="318" t="e">
        <f aca="true" t="shared" si="62" ref="J198:J205">(I198-D198)/D198*100</f>
        <v>#DIV/0!</v>
      </c>
      <c r="K198" s="319">
        <f>I198-D198</f>
        <v>0</v>
      </c>
      <c r="L198" s="320"/>
      <c r="M198" s="325">
        <f t="shared" si="46"/>
        <v>0</v>
      </c>
      <c r="N198" s="325">
        <f t="shared" si="47"/>
        <v>0</v>
      </c>
    </row>
    <row r="199" spans="2:14" s="323" customFormat="1" ht="15">
      <c r="B199" s="322" t="s">
        <v>718</v>
      </c>
      <c r="C199" s="322" t="s">
        <v>719</v>
      </c>
      <c r="D199" s="324">
        <v>0</v>
      </c>
      <c r="E199" s="324">
        <v>0</v>
      </c>
      <c r="F199" s="324">
        <v>0</v>
      </c>
      <c r="G199" s="324">
        <v>0</v>
      </c>
      <c r="H199" s="324">
        <v>0</v>
      </c>
      <c r="I199" s="317">
        <f aca="true" t="shared" si="63" ref="I199:I206">D199-E199+F199-G199+H199</f>
        <v>0</v>
      </c>
      <c r="J199" s="318" t="e">
        <f t="shared" si="62"/>
        <v>#DIV/0!</v>
      </c>
      <c r="K199" s="319">
        <f t="shared" si="37"/>
        <v>0</v>
      </c>
      <c r="L199" s="320"/>
      <c r="M199" s="325">
        <f t="shared" si="46"/>
        <v>0</v>
      </c>
      <c r="N199" s="325">
        <f t="shared" si="47"/>
        <v>0</v>
      </c>
    </row>
    <row r="200" spans="2:14" s="323" customFormat="1" ht="30">
      <c r="B200" s="322" t="s">
        <v>720</v>
      </c>
      <c r="C200" s="322" t="s">
        <v>721</v>
      </c>
      <c r="D200" s="324">
        <v>0</v>
      </c>
      <c r="E200" s="324">
        <v>0</v>
      </c>
      <c r="F200" s="324">
        <v>0</v>
      </c>
      <c r="G200" s="324">
        <v>0</v>
      </c>
      <c r="H200" s="324">
        <v>0</v>
      </c>
      <c r="I200" s="317">
        <f t="shared" si="63"/>
        <v>0</v>
      </c>
      <c r="J200" s="318" t="e">
        <f t="shared" si="62"/>
        <v>#DIV/0!</v>
      </c>
      <c r="K200" s="319">
        <f t="shared" si="37"/>
        <v>0</v>
      </c>
      <c r="L200" s="320"/>
      <c r="M200" s="325">
        <f t="shared" si="46"/>
        <v>0</v>
      </c>
      <c r="N200" s="325">
        <f t="shared" si="47"/>
        <v>0</v>
      </c>
    </row>
    <row r="201" spans="2:14" s="323" customFormat="1" ht="15">
      <c r="B201" s="322" t="s">
        <v>722</v>
      </c>
      <c r="C201" s="322" t="s">
        <v>723</v>
      </c>
      <c r="D201" s="324">
        <v>0</v>
      </c>
      <c r="E201" s="324">
        <v>0</v>
      </c>
      <c r="F201" s="324">
        <v>0</v>
      </c>
      <c r="G201" s="324">
        <v>0</v>
      </c>
      <c r="H201" s="324">
        <v>0</v>
      </c>
      <c r="I201" s="317">
        <f t="shared" si="63"/>
        <v>0</v>
      </c>
      <c r="J201" s="318" t="e">
        <f t="shared" si="62"/>
        <v>#DIV/0!</v>
      </c>
      <c r="K201" s="319">
        <f>I201-D201</f>
        <v>0</v>
      </c>
      <c r="L201" s="320"/>
      <c r="M201" s="325">
        <f t="shared" si="46"/>
        <v>0</v>
      </c>
      <c r="N201" s="325">
        <f t="shared" si="47"/>
        <v>0</v>
      </c>
    </row>
    <row r="202" spans="2:14" s="323" customFormat="1" ht="15">
      <c r="B202" s="322" t="s">
        <v>724</v>
      </c>
      <c r="C202" s="322" t="s">
        <v>725</v>
      </c>
      <c r="D202" s="324">
        <v>0</v>
      </c>
      <c r="E202" s="324">
        <v>0</v>
      </c>
      <c r="F202" s="324">
        <v>0</v>
      </c>
      <c r="G202" s="324">
        <v>0</v>
      </c>
      <c r="H202" s="324">
        <v>0</v>
      </c>
      <c r="I202" s="317">
        <f t="shared" si="63"/>
        <v>0</v>
      </c>
      <c r="J202" s="318" t="e">
        <f t="shared" si="62"/>
        <v>#DIV/0!</v>
      </c>
      <c r="K202" s="319">
        <f>I202-D202</f>
        <v>0</v>
      </c>
      <c r="L202" s="320"/>
      <c r="M202" s="325">
        <f t="shared" si="46"/>
        <v>0</v>
      </c>
      <c r="N202" s="325">
        <f t="shared" si="47"/>
        <v>0</v>
      </c>
    </row>
    <row r="203" spans="2:14" s="323" customFormat="1" ht="15">
      <c r="B203" s="322" t="s">
        <v>726</v>
      </c>
      <c r="C203" s="322" t="s">
        <v>727</v>
      </c>
      <c r="D203" s="324">
        <v>0</v>
      </c>
      <c r="E203" s="324">
        <v>0</v>
      </c>
      <c r="F203" s="324">
        <v>0</v>
      </c>
      <c r="G203" s="324">
        <v>0</v>
      </c>
      <c r="H203" s="324">
        <v>0</v>
      </c>
      <c r="I203" s="317">
        <f t="shared" si="63"/>
        <v>0</v>
      </c>
      <c r="J203" s="318" t="e">
        <f t="shared" si="62"/>
        <v>#DIV/0!</v>
      </c>
      <c r="K203" s="319">
        <f>I203-D203</f>
        <v>0</v>
      </c>
      <c r="L203" s="320"/>
      <c r="M203" s="325">
        <f t="shared" si="46"/>
        <v>0</v>
      </c>
      <c r="N203" s="325">
        <f t="shared" si="47"/>
        <v>0</v>
      </c>
    </row>
    <row r="204" spans="2:14" s="323" customFormat="1" ht="15">
      <c r="B204" s="322" t="s">
        <v>728</v>
      </c>
      <c r="C204" s="322" t="s">
        <v>729</v>
      </c>
      <c r="D204" s="324">
        <v>0</v>
      </c>
      <c r="E204" s="324">
        <v>0</v>
      </c>
      <c r="F204" s="324">
        <v>0</v>
      </c>
      <c r="G204" s="324">
        <v>0</v>
      </c>
      <c r="H204" s="324">
        <v>0</v>
      </c>
      <c r="I204" s="317">
        <f t="shared" si="63"/>
        <v>0</v>
      </c>
      <c r="J204" s="318" t="e">
        <f t="shared" si="62"/>
        <v>#DIV/0!</v>
      </c>
      <c r="K204" s="319">
        <f>I204-D204</f>
        <v>0</v>
      </c>
      <c r="L204" s="320"/>
      <c r="M204" s="325">
        <f t="shared" si="46"/>
        <v>0</v>
      </c>
      <c r="N204" s="325">
        <f t="shared" si="47"/>
        <v>0</v>
      </c>
    </row>
    <row r="205" spans="2:14" s="302" customFormat="1" ht="15">
      <c r="B205" s="316" t="s">
        <v>730</v>
      </c>
      <c r="C205" s="316" t="s">
        <v>731</v>
      </c>
      <c r="D205" s="317">
        <f aca="true" t="shared" si="64" ref="D205:I205">D206</f>
        <v>0</v>
      </c>
      <c r="E205" s="317">
        <f t="shared" si="64"/>
        <v>0</v>
      </c>
      <c r="F205" s="317">
        <f t="shared" si="64"/>
        <v>0</v>
      </c>
      <c r="G205" s="317">
        <f t="shared" si="64"/>
        <v>0</v>
      </c>
      <c r="H205" s="317">
        <f t="shared" si="64"/>
        <v>0</v>
      </c>
      <c r="I205" s="317">
        <f t="shared" si="64"/>
        <v>0</v>
      </c>
      <c r="J205" s="318" t="e">
        <f t="shared" si="62"/>
        <v>#DIV/0!</v>
      </c>
      <c r="K205" s="318">
        <f>I205-D205</f>
        <v>0</v>
      </c>
      <c r="L205" s="327"/>
      <c r="M205" s="325">
        <f t="shared" si="46"/>
        <v>0</v>
      </c>
      <c r="N205" s="325">
        <f t="shared" si="47"/>
        <v>0</v>
      </c>
    </row>
    <row r="206" spans="2:14" s="323" customFormat="1" ht="15">
      <c r="B206" s="322" t="s">
        <v>732</v>
      </c>
      <c r="C206" s="322" t="s">
        <v>731</v>
      </c>
      <c r="D206" s="324">
        <v>0</v>
      </c>
      <c r="E206" s="324">
        <v>0</v>
      </c>
      <c r="F206" s="324">
        <v>0</v>
      </c>
      <c r="G206" s="324">
        <v>0</v>
      </c>
      <c r="H206" s="324">
        <v>0</v>
      </c>
      <c r="I206" s="317">
        <f t="shared" si="63"/>
        <v>0</v>
      </c>
      <c r="J206" s="318" t="e">
        <f aca="true" t="shared" si="65" ref="J206:J211">(I206-D206)/D206*100</f>
        <v>#DIV/0!</v>
      </c>
      <c r="K206" s="319">
        <f aca="true" t="shared" si="66" ref="K206:K211">I206-D206</f>
        <v>0</v>
      </c>
      <c r="L206" s="320"/>
      <c r="M206" s="325">
        <f t="shared" si="46"/>
        <v>0</v>
      </c>
      <c r="N206" s="325">
        <f t="shared" si="47"/>
        <v>0</v>
      </c>
    </row>
    <row r="207" spans="2:14" s="302" customFormat="1" ht="15">
      <c r="B207" s="316" t="s">
        <v>17</v>
      </c>
      <c r="C207" s="316" t="s">
        <v>733</v>
      </c>
      <c r="D207" s="317">
        <f aca="true" t="shared" si="67" ref="D207:E209">+D208</f>
        <v>4261721512</v>
      </c>
      <c r="E207" s="317">
        <f t="shared" si="67"/>
        <v>23521173</v>
      </c>
      <c r="F207" s="317">
        <f aca="true" t="shared" si="68" ref="F207:I209">+F208</f>
        <v>23521173</v>
      </c>
      <c r="G207" s="317">
        <f>+G208</f>
        <v>13317329472</v>
      </c>
      <c r="H207" s="317">
        <f t="shared" si="68"/>
        <v>15425111472</v>
      </c>
      <c r="I207" s="317">
        <f t="shared" si="68"/>
        <v>6369503512</v>
      </c>
      <c r="J207" s="318">
        <f t="shared" si="65"/>
        <v>49.458464004862456</v>
      </c>
      <c r="K207" s="319">
        <f t="shared" si="66"/>
        <v>2107782000</v>
      </c>
      <c r="L207" s="320"/>
      <c r="M207" s="321">
        <f t="shared" si="46"/>
        <v>6369503512</v>
      </c>
      <c r="N207" s="321">
        <f t="shared" si="47"/>
        <v>0</v>
      </c>
    </row>
    <row r="208" spans="2:14" s="302" customFormat="1" ht="15">
      <c r="B208" s="316" t="s">
        <v>395</v>
      </c>
      <c r="C208" s="316" t="s">
        <v>733</v>
      </c>
      <c r="D208" s="317">
        <f t="shared" si="67"/>
        <v>4261721512</v>
      </c>
      <c r="E208" s="317">
        <f t="shared" si="67"/>
        <v>23521173</v>
      </c>
      <c r="F208" s="317">
        <f t="shared" si="68"/>
        <v>23521173</v>
      </c>
      <c r="G208" s="317">
        <f>+G209</f>
        <v>13317329472</v>
      </c>
      <c r="H208" s="317">
        <f t="shared" si="68"/>
        <v>15425111472</v>
      </c>
      <c r="I208" s="317">
        <f t="shared" si="68"/>
        <v>6369503512</v>
      </c>
      <c r="J208" s="318">
        <f t="shared" si="65"/>
        <v>49.458464004862456</v>
      </c>
      <c r="K208" s="319">
        <f t="shared" si="66"/>
        <v>2107782000</v>
      </c>
      <c r="L208" s="320"/>
      <c r="M208" s="321">
        <f t="shared" si="46"/>
        <v>6369503512</v>
      </c>
      <c r="N208" s="321">
        <f t="shared" si="47"/>
        <v>0</v>
      </c>
    </row>
    <row r="209" spans="2:14" s="302" customFormat="1" ht="15">
      <c r="B209" s="316" t="s">
        <v>734</v>
      </c>
      <c r="C209" s="316" t="s">
        <v>4</v>
      </c>
      <c r="D209" s="317">
        <f t="shared" si="67"/>
        <v>4261721512</v>
      </c>
      <c r="E209" s="317">
        <f t="shared" si="67"/>
        <v>23521173</v>
      </c>
      <c r="F209" s="317">
        <f t="shared" si="68"/>
        <v>23521173</v>
      </c>
      <c r="G209" s="317">
        <f t="shared" si="68"/>
        <v>13317329472</v>
      </c>
      <c r="H209" s="317">
        <f t="shared" si="68"/>
        <v>15425111472</v>
      </c>
      <c r="I209" s="317">
        <f t="shared" si="68"/>
        <v>6369503512</v>
      </c>
      <c r="J209" s="318">
        <f t="shared" si="65"/>
        <v>49.458464004862456</v>
      </c>
      <c r="K209" s="319">
        <f t="shared" si="66"/>
        <v>2107782000</v>
      </c>
      <c r="L209" s="320"/>
      <c r="M209" s="321">
        <f t="shared" si="46"/>
        <v>6369503512</v>
      </c>
      <c r="N209" s="321">
        <f t="shared" si="47"/>
        <v>0</v>
      </c>
    </row>
    <row r="210" spans="2:14" s="323" customFormat="1" ht="15">
      <c r="B210" s="322" t="s">
        <v>396</v>
      </c>
      <c r="C210" s="322" t="s">
        <v>4</v>
      </c>
      <c r="D210" s="324">
        <v>4261721512</v>
      </c>
      <c r="E210" s="324">
        <v>23521173</v>
      </c>
      <c r="F210" s="324">
        <v>23521173</v>
      </c>
      <c r="G210" s="324">
        <v>13317329472</v>
      </c>
      <c r="H210" s="324">
        <v>15425111472</v>
      </c>
      <c r="I210" s="324">
        <f>+D210-E210+F210-G210+H210</f>
        <v>6369503512</v>
      </c>
      <c r="J210" s="318">
        <f t="shared" si="65"/>
        <v>49.458464004862456</v>
      </c>
      <c r="K210" s="319">
        <f t="shared" si="66"/>
        <v>2107782000</v>
      </c>
      <c r="L210" s="320"/>
      <c r="M210" s="321">
        <f t="shared" si="46"/>
        <v>6369503512</v>
      </c>
      <c r="N210" s="321">
        <f t="shared" si="47"/>
        <v>0</v>
      </c>
    </row>
    <row r="211" spans="2:14" s="302" customFormat="1" ht="15.75" thickBot="1">
      <c r="B211" s="316"/>
      <c r="C211" s="334" t="s">
        <v>735</v>
      </c>
      <c r="D211" s="317">
        <f aca="true" t="shared" si="69" ref="D211:I211">+D155+D209</f>
        <v>4265046069</v>
      </c>
      <c r="E211" s="317">
        <f t="shared" si="69"/>
        <v>23521173</v>
      </c>
      <c r="F211" s="317">
        <f t="shared" si="69"/>
        <v>23521173</v>
      </c>
      <c r="G211" s="317">
        <f t="shared" si="69"/>
        <v>13350308492</v>
      </c>
      <c r="H211" s="317">
        <f t="shared" si="69"/>
        <v>15454765935</v>
      </c>
      <c r="I211" s="317">
        <f t="shared" si="69"/>
        <v>6369503512</v>
      </c>
      <c r="J211" s="318">
        <f t="shared" si="65"/>
        <v>49.341962758527</v>
      </c>
      <c r="K211" s="319">
        <f t="shared" si="66"/>
        <v>2104457443</v>
      </c>
      <c r="L211" s="320"/>
      <c r="M211" s="335">
        <f t="shared" si="46"/>
        <v>6369503512</v>
      </c>
      <c r="N211" s="335">
        <f t="shared" si="47"/>
        <v>0</v>
      </c>
    </row>
    <row r="212" ht="15.75" thickTop="1"/>
    <row r="213" spans="3:11" ht="15">
      <c r="C213" s="339" t="s">
        <v>1449</v>
      </c>
      <c r="D213" s="340">
        <f aca="true" t="shared" si="70" ref="D213:I213">D5-D155</f>
        <v>4261721512</v>
      </c>
      <c r="E213" s="340">
        <f t="shared" si="70"/>
        <v>23521173</v>
      </c>
      <c r="F213" s="340">
        <f t="shared" si="70"/>
        <v>23521173</v>
      </c>
      <c r="G213" s="340">
        <f t="shared" si="70"/>
        <v>15421786915</v>
      </c>
      <c r="H213" s="340">
        <f t="shared" si="70"/>
        <v>13320654029</v>
      </c>
      <c r="I213" s="340">
        <f t="shared" si="70"/>
        <v>6369503512</v>
      </c>
      <c r="J213" s="341"/>
      <c r="K213" s="341"/>
    </row>
    <row r="214" spans="2:11" ht="15">
      <c r="B214" s="342"/>
      <c r="C214" s="343"/>
      <c r="D214" s="344">
        <f aca="true" t="shared" si="71" ref="D214:I214">D210-D213</f>
        <v>0</v>
      </c>
      <c r="E214" s="344">
        <f t="shared" si="71"/>
        <v>0</v>
      </c>
      <c r="F214" s="344">
        <f t="shared" si="71"/>
        <v>0</v>
      </c>
      <c r="G214" s="344">
        <f t="shared" si="71"/>
        <v>-2104457443</v>
      </c>
      <c r="H214" s="344">
        <f t="shared" si="71"/>
        <v>2104457443</v>
      </c>
      <c r="I214" s="344">
        <f t="shared" si="71"/>
        <v>0</v>
      </c>
      <c r="J214" s="341"/>
      <c r="K214" s="341"/>
    </row>
    <row r="215" spans="3:11" ht="15">
      <c r="C215" s="339" t="s">
        <v>1450</v>
      </c>
      <c r="D215" s="340">
        <f aca="true" t="shared" si="72" ref="D215:I215">D5-D211</f>
        <v>0</v>
      </c>
      <c r="E215" s="340">
        <f t="shared" si="72"/>
        <v>0</v>
      </c>
      <c r="F215" s="340">
        <f t="shared" si="72"/>
        <v>0</v>
      </c>
      <c r="G215" s="340">
        <f t="shared" si="72"/>
        <v>2104457443</v>
      </c>
      <c r="H215" s="340">
        <f t="shared" si="72"/>
        <v>-2104457443</v>
      </c>
      <c r="I215" s="340">
        <f t="shared" si="72"/>
        <v>0</v>
      </c>
      <c r="J215" s="341"/>
      <c r="K215" s="341"/>
    </row>
  </sheetData>
  <sheetProtection/>
  <mergeCells count="8">
    <mergeCell ref="K3:K4"/>
    <mergeCell ref="J3:J4"/>
    <mergeCell ref="I3:I4"/>
    <mergeCell ref="B3:B4"/>
    <mergeCell ref="C3:C4"/>
    <mergeCell ref="D3:D4"/>
    <mergeCell ref="E3:F3"/>
    <mergeCell ref="G3:H3"/>
  </mergeCells>
  <printOptions/>
  <pageMargins left="0.7" right="0.7" top="0.75" bottom="0.75" header="0.3" footer="0.3"/>
  <pageSetup orientation="landscape" paperSize="5" r:id="rId1"/>
</worksheet>
</file>

<file path=xl/worksheets/sheet5.xml><?xml version="1.0" encoding="utf-8"?>
<worksheet xmlns="http://schemas.openxmlformats.org/spreadsheetml/2006/main" xmlns:r="http://schemas.openxmlformats.org/officeDocument/2006/relationships">
  <sheetPr>
    <tabColor rgb="FFFF0000"/>
  </sheetPr>
  <dimension ref="B3:I445"/>
  <sheetViews>
    <sheetView zoomScalePageLayoutView="0" workbookViewId="0" topLeftCell="B401">
      <selection activeCell="E455" sqref="E455"/>
    </sheetView>
  </sheetViews>
  <sheetFormatPr defaultColWidth="9.140625" defaultRowHeight="15"/>
  <cols>
    <col min="1" max="1" width="1.8515625" style="150" customWidth="1"/>
    <col min="2" max="3" width="2.421875" style="345" customWidth="1"/>
    <col min="4" max="4" width="56.00390625" style="150" customWidth="1"/>
    <col min="5" max="6" width="19.140625" style="346" customWidth="1"/>
    <col min="7" max="7" width="9.7109375" style="345" customWidth="1"/>
    <col min="8" max="8" width="17.140625" style="150" customWidth="1"/>
    <col min="9" max="9" width="21.57421875" style="150" customWidth="1"/>
    <col min="10" max="16384" width="9.140625" style="150" customWidth="1"/>
  </cols>
  <sheetData>
    <row r="3" spans="2:8" ht="15">
      <c r="B3" s="961" t="s">
        <v>46</v>
      </c>
      <c r="C3" s="961"/>
      <c r="D3" s="962" t="s">
        <v>256</v>
      </c>
      <c r="E3" s="964">
        <v>2017</v>
      </c>
      <c r="F3" s="957">
        <v>2016</v>
      </c>
      <c r="G3" s="956" t="s">
        <v>1252</v>
      </c>
      <c r="H3" s="956"/>
    </row>
    <row r="4" spans="2:8" ht="15">
      <c r="B4" s="961"/>
      <c r="C4" s="961"/>
      <c r="D4" s="963"/>
      <c r="E4" s="965"/>
      <c r="F4" s="958"/>
      <c r="G4" s="347" t="s">
        <v>1248</v>
      </c>
      <c r="H4" s="347" t="s">
        <v>1224</v>
      </c>
    </row>
    <row r="5" spans="2:8" ht="15">
      <c r="B5" s="348"/>
      <c r="C5" s="968" t="s">
        <v>39</v>
      </c>
      <c r="D5" s="969"/>
      <c r="E5" s="349"/>
      <c r="F5" s="350"/>
      <c r="G5" s="351"/>
      <c r="H5" s="351"/>
    </row>
    <row r="6" spans="2:8" ht="15">
      <c r="B6" s="352"/>
      <c r="C6" s="353"/>
      <c r="D6" s="354" t="s">
        <v>79</v>
      </c>
      <c r="E6" s="355">
        <f>+E7+E85+E134</f>
        <v>0</v>
      </c>
      <c r="F6" s="356">
        <f>+F7+F85+F134</f>
        <v>0</v>
      </c>
      <c r="G6" s="357" t="e">
        <f>(E6-F6)/F6*100</f>
        <v>#DIV/0!</v>
      </c>
      <c r="H6" s="358">
        <f>E6-F6</f>
        <v>0</v>
      </c>
    </row>
    <row r="7" spans="2:8" ht="15">
      <c r="B7" s="352"/>
      <c r="C7" s="359">
        <v>1</v>
      </c>
      <c r="D7" s="360" t="s">
        <v>226</v>
      </c>
      <c r="E7" s="361">
        <f>+E8+E19+E40+E51</f>
        <v>0</v>
      </c>
      <c r="F7" s="362">
        <f>+F8+F19+F40+F51</f>
        <v>0</v>
      </c>
      <c r="G7" s="357" t="e">
        <f aca="true" t="shared" si="0" ref="G7:G70">(E7-F7)/F7*100</f>
        <v>#DIV/0!</v>
      </c>
      <c r="H7" s="358">
        <f>E7-F7</f>
        <v>0</v>
      </c>
    </row>
    <row r="8" spans="2:8" ht="15">
      <c r="B8" s="363"/>
      <c r="C8" s="364"/>
      <c r="D8" s="365" t="s">
        <v>802</v>
      </c>
      <c r="E8" s="366">
        <f>+E9+E10+E11+E12+E13+E14+E15+E16+E17+E18</f>
        <v>0</v>
      </c>
      <c r="F8" s="367">
        <f>+F9+F10+F11+F12+F13+F14+F15+F16+F17+F18</f>
        <v>0</v>
      </c>
      <c r="G8" s="357" t="e">
        <f t="shared" si="0"/>
        <v>#DIV/0!</v>
      </c>
      <c r="H8" s="358">
        <f aca="true" t="shared" si="1" ref="H8:H71">E8-F8</f>
        <v>0</v>
      </c>
    </row>
    <row r="9" spans="2:8" ht="15">
      <c r="B9" s="363"/>
      <c r="C9" s="368"/>
      <c r="D9" s="369" t="s">
        <v>803</v>
      </c>
      <c r="E9" s="370">
        <v>0</v>
      </c>
      <c r="F9" s="370">
        <v>0</v>
      </c>
      <c r="G9" s="357" t="e">
        <f t="shared" si="0"/>
        <v>#DIV/0!</v>
      </c>
      <c r="H9" s="358">
        <f t="shared" si="1"/>
        <v>0</v>
      </c>
    </row>
    <row r="10" spans="2:8" ht="15">
      <c r="B10" s="363"/>
      <c r="C10" s="368"/>
      <c r="D10" s="369" t="s">
        <v>804</v>
      </c>
      <c r="E10" s="370">
        <v>0</v>
      </c>
      <c r="F10" s="370">
        <v>0</v>
      </c>
      <c r="G10" s="357" t="e">
        <f t="shared" si="0"/>
        <v>#DIV/0!</v>
      </c>
      <c r="H10" s="358">
        <f t="shared" si="1"/>
        <v>0</v>
      </c>
    </row>
    <row r="11" spans="2:8" ht="15">
      <c r="B11" s="363"/>
      <c r="C11" s="368"/>
      <c r="D11" s="369" t="s">
        <v>805</v>
      </c>
      <c r="E11" s="370">
        <v>0</v>
      </c>
      <c r="F11" s="370">
        <v>0</v>
      </c>
      <c r="G11" s="357" t="e">
        <f t="shared" si="0"/>
        <v>#DIV/0!</v>
      </c>
      <c r="H11" s="358">
        <f t="shared" si="1"/>
        <v>0</v>
      </c>
    </row>
    <row r="12" spans="2:8" ht="15">
      <c r="B12" s="363"/>
      <c r="C12" s="368"/>
      <c r="D12" s="369" t="s">
        <v>806</v>
      </c>
      <c r="E12" s="370">
        <v>0</v>
      </c>
      <c r="F12" s="370">
        <v>0</v>
      </c>
      <c r="G12" s="357" t="e">
        <f t="shared" si="0"/>
        <v>#DIV/0!</v>
      </c>
      <c r="H12" s="358">
        <f t="shared" si="1"/>
        <v>0</v>
      </c>
    </row>
    <row r="13" spans="2:8" ht="15">
      <c r="B13" s="363"/>
      <c r="C13" s="368"/>
      <c r="D13" s="369" t="s">
        <v>807</v>
      </c>
      <c r="E13" s="370">
        <v>0</v>
      </c>
      <c r="F13" s="370">
        <v>0</v>
      </c>
      <c r="G13" s="357" t="e">
        <f t="shared" si="0"/>
        <v>#DIV/0!</v>
      </c>
      <c r="H13" s="358">
        <f t="shared" si="1"/>
        <v>0</v>
      </c>
    </row>
    <row r="14" spans="2:8" ht="15">
      <c r="B14" s="363"/>
      <c r="C14" s="368"/>
      <c r="D14" s="369" t="s">
        <v>808</v>
      </c>
      <c r="E14" s="370">
        <v>0</v>
      </c>
      <c r="F14" s="370">
        <v>0</v>
      </c>
      <c r="G14" s="357" t="e">
        <f t="shared" si="0"/>
        <v>#DIV/0!</v>
      </c>
      <c r="H14" s="358">
        <f t="shared" si="1"/>
        <v>0</v>
      </c>
    </row>
    <row r="15" spans="2:8" ht="15">
      <c r="B15" s="363"/>
      <c r="C15" s="368"/>
      <c r="D15" s="369" t="s">
        <v>809</v>
      </c>
      <c r="E15" s="370">
        <v>0</v>
      </c>
      <c r="F15" s="370">
        <v>0</v>
      </c>
      <c r="G15" s="357" t="e">
        <f t="shared" si="0"/>
        <v>#DIV/0!</v>
      </c>
      <c r="H15" s="358">
        <f t="shared" si="1"/>
        <v>0</v>
      </c>
    </row>
    <row r="16" spans="2:8" ht="15">
      <c r="B16" s="363"/>
      <c r="C16" s="368"/>
      <c r="D16" s="369" t="s">
        <v>810</v>
      </c>
      <c r="E16" s="370">
        <v>0</v>
      </c>
      <c r="F16" s="370">
        <v>0</v>
      </c>
      <c r="G16" s="357" t="e">
        <f t="shared" si="0"/>
        <v>#DIV/0!</v>
      </c>
      <c r="H16" s="358">
        <f t="shared" si="1"/>
        <v>0</v>
      </c>
    </row>
    <row r="17" spans="2:8" ht="15">
      <c r="B17" s="363"/>
      <c r="C17" s="368"/>
      <c r="D17" s="369" t="s">
        <v>811</v>
      </c>
      <c r="E17" s="370">
        <v>0</v>
      </c>
      <c r="F17" s="370">
        <v>0</v>
      </c>
      <c r="G17" s="357" t="e">
        <f t="shared" si="0"/>
        <v>#DIV/0!</v>
      </c>
      <c r="H17" s="358">
        <f t="shared" si="1"/>
        <v>0</v>
      </c>
    </row>
    <row r="18" spans="2:8" ht="15">
      <c r="B18" s="363"/>
      <c r="C18" s="368"/>
      <c r="D18" s="369" t="s">
        <v>812</v>
      </c>
      <c r="E18" s="370">
        <v>0</v>
      </c>
      <c r="F18" s="370">
        <v>0</v>
      </c>
      <c r="G18" s="357" t="e">
        <f t="shared" si="0"/>
        <v>#DIV/0!</v>
      </c>
      <c r="H18" s="358">
        <f t="shared" si="1"/>
        <v>0</v>
      </c>
    </row>
    <row r="19" spans="2:8" ht="15">
      <c r="B19" s="371"/>
      <c r="C19" s="364"/>
      <c r="D19" s="365" t="s">
        <v>792</v>
      </c>
      <c r="E19" s="366">
        <f>+E20+E28+E36</f>
        <v>0</v>
      </c>
      <c r="F19" s="367">
        <f>+F20+F28+F36</f>
        <v>0</v>
      </c>
      <c r="G19" s="357" t="e">
        <f t="shared" si="0"/>
        <v>#DIV/0!</v>
      </c>
      <c r="H19" s="358">
        <f t="shared" si="1"/>
        <v>0</v>
      </c>
    </row>
    <row r="20" spans="2:8" ht="15">
      <c r="B20" s="371"/>
      <c r="C20" s="372"/>
      <c r="D20" s="373" t="s">
        <v>813</v>
      </c>
      <c r="E20" s="374">
        <f>+E21+E22+E23+E24+E25+E26+E27</f>
        <v>0</v>
      </c>
      <c r="F20" s="375">
        <f>+F21+F22+F23+F24+F25+F26+F27</f>
        <v>0</v>
      </c>
      <c r="G20" s="357" t="e">
        <f t="shared" si="0"/>
        <v>#DIV/0!</v>
      </c>
      <c r="H20" s="358">
        <f t="shared" si="1"/>
        <v>0</v>
      </c>
    </row>
    <row r="21" spans="2:8" ht="15">
      <c r="B21" s="376"/>
      <c r="C21" s="377"/>
      <c r="D21" s="378" t="s">
        <v>814</v>
      </c>
      <c r="E21" s="370">
        <v>0</v>
      </c>
      <c r="F21" s="370">
        <v>0</v>
      </c>
      <c r="G21" s="357" t="e">
        <f t="shared" si="0"/>
        <v>#DIV/0!</v>
      </c>
      <c r="H21" s="358">
        <f t="shared" si="1"/>
        <v>0</v>
      </c>
    </row>
    <row r="22" spans="2:8" ht="15">
      <c r="B22" s="376"/>
      <c r="C22" s="377"/>
      <c r="D22" s="378" t="s">
        <v>815</v>
      </c>
      <c r="E22" s="370">
        <v>0</v>
      </c>
      <c r="F22" s="370">
        <v>0</v>
      </c>
      <c r="G22" s="357" t="e">
        <f t="shared" si="0"/>
        <v>#DIV/0!</v>
      </c>
      <c r="H22" s="358">
        <f t="shared" si="1"/>
        <v>0</v>
      </c>
    </row>
    <row r="23" spans="2:8" ht="15">
      <c r="B23" s="376"/>
      <c r="C23" s="377"/>
      <c r="D23" s="378" t="s">
        <v>816</v>
      </c>
      <c r="E23" s="370">
        <v>0</v>
      </c>
      <c r="F23" s="370">
        <v>0</v>
      </c>
      <c r="G23" s="357" t="e">
        <f t="shared" si="0"/>
        <v>#DIV/0!</v>
      </c>
      <c r="H23" s="358">
        <f t="shared" si="1"/>
        <v>0</v>
      </c>
    </row>
    <row r="24" spans="2:8" ht="15">
      <c r="B24" s="376"/>
      <c r="C24" s="377"/>
      <c r="D24" s="378" t="s">
        <v>817</v>
      </c>
      <c r="E24" s="370">
        <v>0</v>
      </c>
      <c r="F24" s="370">
        <v>0</v>
      </c>
      <c r="G24" s="357" t="e">
        <f t="shared" si="0"/>
        <v>#DIV/0!</v>
      </c>
      <c r="H24" s="358">
        <f t="shared" si="1"/>
        <v>0</v>
      </c>
    </row>
    <row r="25" spans="2:8" ht="15">
      <c r="B25" s="376"/>
      <c r="C25" s="377"/>
      <c r="D25" s="378" t="s">
        <v>818</v>
      </c>
      <c r="E25" s="370">
        <v>0</v>
      </c>
      <c r="F25" s="370">
        <v>0</v>
      </c>
      <c r="G25" s="357" t="e">
        <f t="shared" si="0"/>
        <v>#DIV/0!</v>
      </c>
      <c r="H25" s="358">
        <f t="shared" si="1"/>
        <v>0</v>
      </c>
    </row>
    <row r="26" spans="2:8" ht="15">
      <c r="B26" s="376"/>
      <c r="C26" s="377"/>
      <c r="D26" s="378" t="s">
        <v>819</v>
      </c>
      <c r="E26" s="370">
        <v>0</v>
      </c>
      <c r="F26" s="370">
        <v>0</v>
      </c>
      <c r="G26" s="357" t="e">
        <f t="shared" si="0"/>
        <v>#DIV/0!</v>
      </c>
      <c r="H26" s="358">
        <f t="shared" si="1"/>
        <v>0</v>
      </c>
    </row>
    <row r="27" spans="2:8" ht="15">
      <c r="B27" s="376"/>
      <c r="C27" s="377"/>
      <c r="D27" s="378" t="s">
        <v>820</v>
      </c>
      <c r="E27" s="370">
        <v>0</v>
      </c>
      <c r="F27" s="370">
        <v>0</v>
      </c>
      <c r="G27" s="357" t="e">
        <f t="shared" si="0"/>
        <v>#DIV/0!</v>
      </c>
      <c r="H27" s="358">
        <f t="shared" si="1"/>
        <v>0</v>
      </c>
    </row>
    <row r="28" spans="2:8" ht="15">
      <c r="B28" s="379"/>
      <c r="C28" s="380"/>
      <c r="D28" s="381" t="s">
        <v>821</v>
      </c>
      <c r="E28" s="374">
        <f>+E29+E30+E31+E32+E33+E34+E35</f>
        <v>0</v>
      </c>
      <c r="F28" s="375">
        <f>+F29+F30+F31+F32+F33+F34+F35</f>
        <v>0</v>
      </c>
      <c r="G28" s="357" t="e">
        <f t="shared" si="0"/>
        <v>#DIV/0!</v>
      </c>
      <c r="H28" s="358">
        <f t="shared" si="1"/>
        <v>0</v>
      </c>
    </row>
    <row r="29" spans="2:8" ht="15">
      <c r="B29" s="376"/>
      <c r="C29" s="377"/>
      <c r="D29" s="378" t="s">
        <v>822</v>
      </c>
      <c r="E29" s="370">
        <v>0</v>
      </c>
      <c r="F29" s="370">
        <v>0</v>
      </c>
      <c r="G29" s="357" t="e">
        <f t="shared" si="0"/>
        <v>#DIV/0!</v>
      </c>
      <c r="H29" s="358">
        <f t="shared" si="1"/>
        <v>0</v>
      </c>
    </row>
    <row r="30" spans="2:8" ht="15">
      <c r="B30" s="376"/>
      <c r="C30" s="377"/>
      <c r="D30" s="378" t="s">
        <v>823</v>
      </c>
      <c r="E30" s="370">
        <v>0</v>
      </c>
      <c r="F30" s="370">
        <v>0</v>
      </c>
      <c r="G30" s="357" t="e">
        <f t="shared" si="0"/>
        <v>#DIV/0!</v>
      </c>
      <c r="H30" s="358">
        <f t="shared" si="1"/>
        <v>0</v>
      </c>
    </row>
    <row r="31" spans="2:8" ht="15">
      <c r="B31" s="376"/>
      <c r="C31" s="377"/>
      <c r="D31" s="378" t="s">
        <v>824</v>
      </c>
      <c r="E31" s="370">
        <v>0</v>
      </c>
      <c r="F31" s="370">
        <v>0</v>
      </c>
      <c r="G31" s="357" t="e">
        <f t="shared" si="0"/>
        <v>#DIV/0!</v>
      </c>
      <c r="H31" s="358">
        <f t="shared" si="1"/>
        <v>0</v>
      </c>
    </row>
    <row r="32" spans="2:8" ht="15">
      <c r="B32" s="376"/>
      <c r="C32" s="377"/>
      <c r="D32" s="378" t="s">
        <v>825</v>
      </c>
      <c r="E32" s="370">
        <v>0</v>
      </c>
      <c r="F32" s="370">
        <v>0</v>
      </c>
      <c r="G32" s="357" t="e">
        <f t="shared" si="0"/>
        <v>#DIV/0!</v>
      </c>
      <c r="H32" s="358">
        <f t="shared" si="1"/>
        <v>0</v>
      </c>
    </row>
    <row r="33" spans="2:8" ht="15">
      <c r="B33" s="376"/>
      <c r="C33" s="377"/>
      <c r="D33" s="378" t="s">
        <v>826</v>
      </c>
      <c r="E33" s="370">
        <v>0</v>
      </c>
      <c r="F33" s="370">
        <v>0</v>
      </c>
      <c r="G33" s="357" t="e">
        <f t="shared" si="0"/>
        <v>#DIV/0!</v>
      </c>
      <c r="H33" s="358">
        <f t="shared" si="1"/>
        <v>0</v>
      </c>
    </row>
    <row r="34" spans="2:8" ht="15">
      <c r="B34" s="376"/>
      <c r="C34" s="377"/>
      <c r="D34" s="378" t="s">
        <v>827</v>
      </c>
      <c r="E34" s="370">
        <v>0</v>
      </c>
      <c r="F34" s="370">
        <v>0</v>
      </c>
      <c r="G34" s="357" t="e">
        <f t="shared" si="0"/>
        <v>#DIV/0!</v>
      </c>
      <c r="H34" s="358">
        <f t="shared" si="1"/>
        <v>0</v>
      </c>
    </row>
    <row r="35" spans="2:8" ht="15">
      <c r="B35" s="376"/>
      <c r="C35" s="377"/>
      <c r="D35" s="378" t="s">
        <v>828</v>
      </c>
      <c r="E35" s="370">
        <v>0</v>
      </c>
      <c r="F35" s="370">
        <v>0</v>
      </c>
      <c r="G35" s="357" t="e">
        <f t="shared" si="0"/>
        <v>#DIV/0!</v>
      </c>
      <c r="H35" s="358">
        <f t="shared" si="1"/>
        <v>0</v>
      </c>
    </row>
    <row r="36" spans="2:8" ht="15">
      <c r="B36" s="371"/>
      <c r="C36" s="368"/>
      <c r="D36" s="373" t="s">
        <v>829</v>
      </c>
      <c r="E36" s="374">
        <f>+E37+E38+E39</f>
        <v>0</v>
      </c>
      <c r="F36" s="375">
        <f>+F37+F38+F39</f>
        <v>0</v>
      </c>
      <c r="G36" s="357" t="e">
        <f t="shared" si="0"/>
        <v>#DIV/0!</v>
      </c>
      <c r="H36" s="358">
        <f t="shared" si="1"/>
        <v>0</v>
      </c>
    </row>
    <row r="37" spans="2:8" ht="15">
      <c r="B37" s="376"/>
      <c r="C37" s="377"/>
      <c r="D37" s="378" t="s">
        <v>830</v>
      </c>
      <c r="E37" s="370">
        <v>0</v>
      </c>
      <c r="F37" s="370">
        <v>0</v>
      </c>
      <c r="G37" s="357" t="e">
        <f t="shared" si="0"/>
        <v>#DIV/0!</v>
      </c>
      <c r="H37" s="358">
        <f t="shared" si="1"/>
        <v>0</v>
      </c>
    </row>
    <row r="38" spans="2:8" ht="15">
      <c r="B38" s="376"/>
      <c r="C38" s="377"/>
      <c r="D38" s="378" t="s">
        <v>831</v>
      </c>
      <c r="E38" s="370">
        <v>0</v>
      </c>
      <c r="F38" s="370">
        <v>0</v>
      </c>
      <c r="G38" s="357" t="e">
        <f t="shared" si="0"/>
        <v>#DIV/0!</v>
      </c>
      <c r="H38" s="358">
        <f t="shared" si="1"/>
        <v>0</v>
      </c>
    </row>
    <row r="39" spans="2:8" ht="15">
      <c r="B39" s="376"/>
      <c r="C39" s="377"/>
      <c r="D39" s="378" t="s">
        <v>832</v>
      </c>
      <c r="E39" s="370">
        <v>0</v>
      </c>
      <c r="F39" s="370">
        <v>0</v>
      </c>
      <c r="G39" s="357" t="e">
        <f t="shared" si="0"/>
        <v>#DIV/0!</v>
      </c>
      <c r="H39" s="358">
        <f t="shared" si="1"/>
        <v>0</v>
      </c>
    </row>
    <row r="40" spans="2:8" ht="15">
      <c r="B40" s="371"/>
      <c r="C40" s="382"/>
      <c r="D40" s="365" t="s">
        <v>833</v>
      </c>
      <c r="E40" s="366">
        <f>+E41+E48</f>
        <v>0</v>
      </c>
      <c r="F40" s="367">
        <f>+F41+F48</f>
        <v>0</v>
      </c>
      <c r="G40" s="357" t="e">
        <f t="shared" si="0"/>
        <v>#DIV/0!</v>
      </c>
      <c r="H40" s="358">
        <f t="shared" si="1"/>
        <v>0</v>
      </c>
    </row>
    <row r="41" spans="2:8" ht="15">
      <c r="B41" s="371"/>
      <c r="C41" s="372"/>
      <c r="D41" s="373" t="s">
        <v>834</v>
      </c>
      <c r="E41" s="374">
        <f>+E42+E43+E44+E45+E46+E47</f>
        <v>0</v>
      </c>
      <c r="F41" s="375">
        <f>+F42+F43+F44+F45+F46+F47</f>
        <v>0</v>
      </c>
      <c r="G41" s="357" t="e">
        <f t="shared" si="0"/>
        <v>#DIV/0!</v>
      </c>
      <c r="H41" s="358">
        <f t="shared" si="1"/>
        <v>0</v>
      </c>
    </row>
    <row r="42" spans="2:8" ht="15">
      <c r="B42" s="376"/>
      <c r="C42" s="377"/>
      <c r="D42" s="378" t="s">
        <v>835</v>
      </c>
      <c r="E42" s="370">
        <v>0</v>
      </c>
      <c r="F42" s="370">
        <v>0</v>
      </c>
      <c r="G42" s="357" t="e">
        <f t="shared" si="0"/>
        <v>#DIV/0!</v>
      </c>
      <c r="H42" s="358">
        <f t="shared" si="1"/>
        <v>0</v>
      </c>
    </row>
    <row r="43" spans="2:8" ht="15">
      <c r="B43" s="376"/>
      <c r="C43" s="377"/>
      <c r="D43" s="378" t="s">
        <v>836</v>
      </c>
      <c r="E43" s="370">
        <v>0</v>
      </c>
      <c r="F43" s="370">
        <v>0</v>
      </c>
      <c r="G43" s="357" t="e">
        <f t="shared" si="0"/>
        <v>#DIV/0!</v>
      </c>
      <c r="H43" s="358">
        <f t="shared" si="1"/>
        <v>0</v>
      </c>
    </row>
    <row r="44" spans="2:8" ht="15">
      <c r="B44" s="376"/>
      <c r="C44" s="377"/>
      <c r="D44" s="378" t="s">
        <v>837</v>
      </c>
      <c r="E44" s="370">
        <v>0</v>
      </c>
      <c r="F44" s="370">
        <v>0</v>
      </c>
      <c r="G44" s="357" t="e">
        <f t="shared" si="0"/>
        <v>#DIV/0!</v>
      </c>
      <c r="H44" s="358">
        <f t="shared" si="1"/>
        <v>0</v>
      </c>
    </row>
    <row r="45" spans="2:8" ht="15">
      <c r="B45" s="376"/>
      <c r="C45" s="377"/>
      <c r="D45" s="378" t="s">
        <v>838</v>
      </c>
      <c r="E45" s="370">
        <v>0</v>
      </c>
      <c r="F45" s="370">
        <v>0</v>
      </c>
      <c r="G45" s="357" t="e">
        <f t="shared" si="0"/>
        <v>#DIV/0!</v>
      </c>
      <c r="H45" s="358">
        <f t="shared" si="1"/>
        <v>0</v>
      </c>
    </row>
    <row r="46" spans="2:8" ht="15">
      <c r="B46" s="376"/>
      <c r="C46" s="377"/>
      <c r="D46" s="378" t="s">
        <v>839</v>
      </c>
      <c r="E46" s="370">
        <v>0</v>
      </c>
      <c r="F46" s="370">
        <v>0</v>
      </c>
      <c r="G46" s="357" t="e">
        <f t="shared" si="0"/>
        <v>#DIV/0!</v>
      </c>
      <c r="H46" s="358">
        <f t="shared" si="1"/>
        <v>0</v>
      </c>
    </row>
    <row r="47" spans="2:8" ht="15">
      <c r="B47" s="376"/>
      <c r="C47" s="377"/>
      <c r="D47" s="378" t="s">
        <v>840</v>
      </c>
      <c r="E47" s="370">
        <v>0</v>
      </c>
      <c r="F47" s="370">
        <v>0</v>
      </c>
      <c r="G47" s="357" t="e">
        <f t="shared" si="0"/>
        <v>#DIV/0!</v>
      </c>
      <c r="H47" s="358">
        <f t="shared" si="1"/>
        <v>0</v>
      </c>
    </row>
    <row r="48" spans="2:8" ht="15">
      <c r="B48" s="371"/>
      <c r="C48" s="382"/>
      <c r="D48" s="383" t="s">
        <v>841</v>
      </c>
      <c r="E48" s="374">
        <f>+E49+E50</f>
        <v>0</v>
      </c>
      <c r="F48" s="375">
        <f>+F49+F50</f>
        <v>0</v>
      </c>
      <c r="G48" s="357" t="e">
        <f t="shared" si="0"/>
        <v>#DIV/0!</v>
      </c>
      <c r="H48" s="358">
        <f t="shared" si="1"/>
        <v>0</v>
      </c>
    </row>
    <row r="49" spans="2:8" ht="15">
      <c r="B49" s="376"/>
      <c r="C49" s="377"/>
      <c r="D49" s="378" t="s">
        <v>842</v>
      </c>
      <c r="E49" s="370">
        <v>0</v>
      </c>
      <c r="F49" s="370">
        <v>0</v>
      </c>
      <c r="G49" s="357" t="e">
        <f t="shared" si="0"/>
        <v>#DIV/0!</v>
      </c>
      <c r="H49" s="358">
        <f t="shared" si="1"/>
        <v>0</v>
      </c>
    </row>
    <row r="50" spans="2:8" ht="15">
      <c r="B50" s="376"/>
      <c r="C50" s="377"/>
      <c r="D50" s="378" t="s">
        <v>843</v>
      </c>
      <c r="E50" s="370">
        <v>0</v>
      </c>
      <c r="F50" s="370">
        <v>0</v>
      </c>
      <c r="G50" s="357" t="e">
        <f t="shared" si="0"/>
        <v>#DIV/0!</v>
      </c>
      <c r="H50" s="358">
        <f t="shared" si="1"/>
        <v>0</v>
      </c>
    </row>
    <row r="51" spans="2:8" ht="15">
      <c r="B51" s="371"/>
      <c r="C51" s="382"/>
      <c r="D51" s="365" t="s">
        <v>1626</v>
      </c>
      <c r="E51" s="366">
        <f>+E52+E59+E62+E67+E70+E72+E74+E76+E79+E81</f>
        <v>0</v>
      </c>
      <c r="F51" s="367">
        <f>+F52+F59+F62+F67+F70+F72+F74+F76+F79+F81</f>
        <v>0</v>
      </c>
      <c r="G51" s="357" t="e">
        <f t="shared" si="0"/>
        <v>#DIV/0!</v>
      </c>
      <c r="H51" s="358">
        <f t="shared" si="1"/>
        <v>0</v>
      </c>
    </row>
    <row r="52" spans="2:8" ht="15">
      <c r="B52" s="371"/>
      <c r="C52" s="372"/>
      <c r="D52" s="373" t="s">
        <v>845</v>
      </c>
      <c r="E52" s="374">
        <f>+E53+E54+E55+E56+E57+E58</f>
        <v>0</v>
      </c>
      <c r="F52" s="375">
        <f>+F53+F54+F55+F56+F57+F58</f>
        <v>0</v>
      </c>
      <c r="G52" s="357" t="e">
        <f t="shared" si="0"/>
        <v>#DIV/0!</v>
      </c>
      <c r="H52" s="358">
        <f t="shared" si="1"/>
        <v>0</v>
      </c>
    </row>
    <row r="53" spans="2:8" ht="15">
      <c r="B53" s="376"/>
      <c r="C53" s="377"/>
      <c r="D53" s="378" t="s">
        <v>846</v>
      </c>
      <c r="E53" s="370">
        <v>0</v>
      </c>
      <c r="F53" s="370">
        <v>0</v>
      </c>
      <c r="G53" s="357" t="e">
        <f t="shared" si="0"/>
        <v>#DIV/0!</v>
      </c>
      <c r="H53" s="358">
        <f t="shared" si="1"/>
        <v>0</v>
      </c>
    </row>
    <row r="54" spans="2:8" ht="15">
      <c r="B54" s="376"/>
      <c r="C54" s="377"/>
      <c r="D54" s="378" t="s">
        <v>847</v>
      </c>
      <c r="E54" s="370">
        <v>0</v>
      </c>
      <c r="F54" s="370">
        <v>0</v>
      </c>
      <c r="G54" s="357" t="e">
        <f t="shared" si="0"/>
        <v>#DIV/0!</v>
      </c>
      <c r="H54" s="358">
        <f t="shared" si="1"/>
        <v>0</v>
      </c>
    </row>
    <row r="55" spans="2:8" ht="15">
      <c r="B55" s="376"/>
      <c r="C55" s="377"/>
      <c r="D55" s="378" t="s">
        <v>848</v>
      </c>
      <c r="E55" s="370">
        <v>0</v>
      </c>
      <c r="F55" s="370">
        <v>0</v>
      </c>
      <c r="G55" s="357" t="e">
        <f t="shared" si="0"/>
        <v>#DIV/0!</v>
      </c>
      <c r="H55" s="358">
        <f t="shared" si="1"/>
        <v>0</v>
      </c>
    </row>
    <row r="56" spans="2:8" ht="15">
      <c r="B56" s="376"/>
      <c r="C56" s="377"/>
      <c r="D56" s="378" t="s">
        <v>849</v>
      </c>
      <c r="E56" s="370">
        <v>0</v>
      </c>
      <c r="F56" s="370">
        <v>0</v>
      </c>
      <c r="G56" s="357" t="e">
        <f t="shared" si="0"/>
        <v>#DIV/0!</v>
      </c>
      <c r="H56" s="358">
        <f t="shared" si="1"/>
        <v>0</v>
      </c>
    </row>
    <row r="57" spans="2:8" ht="15">
      <c r="B57" s="376"/>
      <c r="C57" s="377"/>
      <c r="D57" s="378" t="s">
        <v>850</v>
      </c>
      <c r="E57" s="370">
        <v>0</v>
      </c>
      <c r="F57" s="370">
        <v>0</v>
      </c>
      <c r="G57" s="357" t="e">
        <f t="shared" si="0"/>
        <v>#DIV/0!</v>
      </c>
      <c r="H57" s="358">
        <f t="shared" si="1"/>
        <v>0</v>
      </c>
    </row>
    <row r="58" spans="2:8" ht="15">
      <c r="B58" s="376"/>
      <c r="C58" s="377"/>
      <c r="D58" s="378" t="s">
        <v>851</v>
      </c>
      <c r="E58" s="370">
        <v>0</v>
      </c>
      <c r="F58" s="370">
        <v>0</v>
      </c>
      <c r="G58" s="357" t="e">
        <f t="shared" si="0"/>
        <v>#DIV/0!</v>
      </c>
      <c r="H58" s="358">
        <f t="shared" si="1"/>
        <v>0</v>
      </c>
    </row>
    <row r="59" spans="2:8" ht="15">
      <c r="B59" s="371"/>
      <c r="C59" s="372"/>
      <c r="D59" s="373" t="s">
        <v>852</v>
      </c>
      <c r="E59" s="374">
        <f>+E60+E61</f>
        <v>0</v>
      </c>
      <c r="F59" s="375">
        <f>+F60+F61</f>
        <v>0</v>
      </c>
      <c r="G59" s="357" t="e">
        <f t="shared" si="0"/>
        <v>#DIV/0!</v>
      </c>
      <c r="H59" s="358">
        <f t="shared" si="1"/>
        <v>0</v>
      </c>
    </row>
    <row r="60" spans="2:8" ht="15">
      <c r="B60" s="376"/>
      <c r="C60" s="377"/>
      <c r="D60" s="378" t="s">
        <v>853</v>
      </c>
      <c r="E60" s="370">
        <v>0</v>
      </c>
      <c r="F60" s="370">
        <v>0</v>
      </c>
      <c r="G60" s="357" t="e">
        <f t="shared" si="0"/>
        <v>#DIV/0!</v>
      </c>
      <c r="H60" s="358">
        <f t="shared" si="1"/>
        <v>0</v>
      </c>
    </row>
    <row r="61" spans="2:8" ht="15">
      <c r="B61" s="376"/>
      <c r="C61" s="377"/>
      <c r="D61" s="378" t="s">
        <v>854</v>
      </c>
      <c r="E61" s="370">
        <v>0</v>
      </c>
      <c r="F61" s="370">
        <v>0</v>
      </c>
      <c r="G61" s="357" t="e">
        <f t="shared" si="0"/>
        <v>#DIV/0!</v>
      </c>
      <c r="H61" s="358">
        <f t="shared" si="1"/>
        <v>0</v>
      </c>
    </row>
    <row r="62" spans="2:8" ht="15">
      <c r="B62" s="371"/>
      <c r="C62" s="372"/>
      <c r="D62" s="373" t="s">
        <v>855</v>
      </c>
      <c r="E62" s="374">
        <f>+E63+E64+E65+E66</f>
        <v>0</v>
      </c>
      <c r="F62" s="375">
        <f>+F63+F64+F65+F66</f>
        <v>0</v>
      </c>
      <c r="G62" s="357" t="e">
        <f t="shared" si="0"/>
        <v>#DIV/0!</v>
      </c>
      <c r="H62" s="358">
        <f t="shared" si="1"/>
        <v>0</v>
      </c>
    </row>
    <row r="63" spans="2:8" ht="15">
      <c r="B63" s="376"/>
      <c r="C63" s="377"/>
      <c r="D63" s="378" t="s">
        <v>856</v>
      </c>
      <c r="E63" s="370">
        <v>0</v>
      </c>
      <c r="F63" s="370">
        <v>0</v>
      </c>
      <c r="G63" s="357" t="e">
        <f t="shared" si="0"/>
        <v>#DIV/0!</v>
      </c>
      <c r="H63" s="358">
        <f t="shared" si="1"/>
        <v>0</v>
      </c>
    </row>
    <row r="64" spans="2:8" ht="15">
      <c r="B64" s="376"/>
      <c r="C64" s="377"/>
      <c r="D64" s="378" t="s">
        <v>857</v>
      </c>
      <c r="E64" s="370">
        <v>0</v>
      </c>
      <c r="F64" s="370">
        <v>0</v>
      </c>
      <c r="G64" s="357" t="e">
        <f t="shared" si="0"/>
        <v>#DIV/0!</v>
      </c>
      <c r="H64" s="358">
        <f t="shared" si="1"/>
        <v>0</v>
      </c>
    </row>
    <row r="65" spans="2:8" ht="15">
      <c r="B65" s="376"/>
      <c r="C65" s="377"/>
      <c r="D65" s="378" t="s">
        <v>858</v>
      </c>
      <c r="E65" s="370">
        <v>0</v>
      </c>
      <c r="F65" s="370">
        <v>0</v>
      </c>
      <c r="G65" s="357" t="e">
        <f t="shared" si="0"/>
        <v>#DIV/0!</v>
      </c>
      <c r="H65" s="358">
        <f t="shared" si="1"/>
        <v>0</v>
      </c>
    </row>
    <row r="66" spans="2:8" ht="15">
      <c r="B66" s="376"/>
      <c r="C66" s="377"/>
      <c r="D66" s="378" t="s">
        <v>859</v>
      </c>
      <c r="E66" s="370">
        <v>0</v>
      </c>
      <c r="F66" s="370">
        <v>0</v>
      </c>
      <c r="G66" s="357" t="e">
        <f t="shared" si="0"/>
        <v>#DIV/0!</v>
      </c>
      <c r="H66" s="358">
        <f t="shared" si="1"/>
        <v>0</v>
      </c>
    </row>
    <row r="67" spans="2:8" ht="15">
      <c r="B67" s="371"/>
      <c r="C67" s="372"/>
      <c r="D67" s="373" t="s">
        <v>860</v>
      </c>
      <c r="E67" s="374">
        <f>+E68+E69</f>
        <v>0</v>
      </c>
      <c r="F67" s="375">
        <f>+F68+F69</f>
        <v>0</v>
      </c>
      <c r="G67" s="357" t="e">
        <f t="shared" si="0"/>
        <v>#DIV/0!</v>
      </c>
      <c r="H67" s="358">
        <f t="shared" si="1"/>
        <v>0</v>
      </c>
    </row>
    <row r="68" spans="2:8" ht="15">
      <c r="B68" s="376"/>
      <c r="C68" s="377"/>
      <c r="D68" s="378" t="s">
        <v>861</v>
      </c>
      <c r="E68" s="370">
        <v>0</v>
      </c>
      <c r="F68" s="370">
        <v>0</v>
      </c>
      <c r="G68" s="357" t="e">
        <f t="shared" si="0"/>
        <v>#DIV/0!</v>
      </c>
      <c r="H68" s="358">
        <f t="shared" si="1"/>
        <v>0</v>
      </c>
    </row>
    <row r="69" spans="2:8" ht="15">
      <c r="B69" s="376"/>
      <c r="C69" s="377"/>
      <c r="D69" s="378" t="s">
        <v>862</v>
      </c>
      <c r="E69" s="370">
        <v>0</v>
      </c>
      <c r="F69" s="370">
        <v>0</v>
      </c>
      <c r="G69" s="357" t="e">
        <f t="shared" si="0"/>
        <v>#DIV/0!</v>
      </c>
      <c r="H69" s="358">
        <f t="shared" si="1"/>
        <v>0</v>
      </c>
    </row>
    <row r="70" spans="2:8" ht="15">
      <c r="B70" s="371"/>
      <c r="C70" s="372"/>
      <c r="D70" s="373" t="s">
        <v>863</v>
      </c>
      <c r="E70" s="374">
        <f>+E71</f>
        <v>0</v>
      </c>
      <c r="F70" s="375">
        <f>+F71</f>
        <v>0</v>
      </c>
      <c r="G70" s="357" t="e">
        <f t="shared" si="0"/>
        <v>#DIV/0!</v>
      </c>
      <c r="H70" s="358">
        <f t="shared" si="1"/>
        <v>0</v>
      </c>
    </row>
    <row r="71" spans="2:8" ht="15">
      <c r="B71" s="376"/>
      <c r="C71" s="377"/>
      <c r="D71" s="378" t="s">
        <v>864</v>
      </c>
      <c r="E71" s="370">
        <v>0</v>
      </c>
      <c r="F71" s="370">
        <v>0</v>
      </c>
      <c r="G71" s="357" t="e">
        <f aca="true" t="shared" si="2" ref="G71:G134">(E71-F71)/F71*100</f>
        <v>#DIV/0!</v>
      </c>
      <c r="H71" s="358">
        <f t="shared" si="1"/>
        <v>0</v>
      </c>
    </row>
    <row r="72" spans="2:8" ht="15">
      <c r="B72" s="371"/>
      <c r="C72" s="372"/>
      <c r="D72" s="373" t="s">
        <v>865</v>
      </c>
      <c r="E72" s="374">
        <f>+E75</f>
        <v>0</v>
      </c>
      <c r="F72" s="375">
        <f>+F75</f>
        <v>0</v>
      </c>
      <c r="G72" s="357" t="e">
        <f t="shared" si="2"/>
        <v>#DIV/0!</v>
      </c>
      <c r="H72" s="358">
        <f aca="true" t="shared" si="3" ref="H72:H135">E72-F72</f>
        <v>0</v>
      </c>
    </row>
    <row r="73" spans="2:8" ht="15">
      <c r="B73" s="376"/>
      <c r="C73" s="377"/>
      <c r="D73" s="378" t="s">
        <v>866</v>
      </c>
      <c r="E73" s="370">
        <v>0</v>
      </c>
      <c r="F73" s="370">
        <v>0</v>
      </c>
      <c r="G73" s="357" t="e">
        <f t="shared" si="2"/>
        <v>#DIV/0!</v>
      </c>
      <c r="H73" s="358">
        <f t="shared" si="3"/>
        <v>0</v>
      </c>
    </row>
    <row r="74" spans="2:8" ht="15">
      <c r="B74" s="371"/>
      <c r="C74" s="372"/>
      <c r="D74" s="373" t="s">
        <v>867</v>
      </c>
      <c r="E74" s="374">
        <f>E75</f>
        <v>0</v>
      </c>
      <c r="F74" s="374">
        <f>F75</f>
        <v>0</v>
      </c>
      <c r="G74" s="357" t="e">
        <f t="shared" si="2"/>
        <v>#DIV/0!</v>
      </c>
      <c r="H74" s="358">
        <f t="shared" si="3"/>
        <v>0</v>
      </c>
    </row>
    <row r="75" spans="2:8" ht="15">
      <c r="B75" s="376"/>
      <c r="C75" s="377"/>
      <c r="D75" s="378" t="s">
        <v>868</v>
      </c>
      <c r="E75" s="370">
        <v>0</v>
      </c>
      <c r="F75" s="370">
        <v>0</v>
      </c>
      <c r="G75" s="357" t="e">
        <f t="shared" si="2"/>
        <v>#DIV/0!</v>
      </c>
      <c r="H75" s="358">
        <f t="shared" si="3"/>
        <v>0</v>
      </c>
    </row>
    <row r="76" spans="2:8" ht="15">
      <c r="B76" s="371"/>
      <c r="C76" s="372"/>
      <c r="D76" s="373" t="s">
        <v>869</v>
      </c>
      <c r="E76" s="374">
        <f>E77+E78</f>
        <v>0</v>
      </c>
      <c r="F76" s="374">
        <f>F77+F78</f>
        <v>0</v>
      </c>
      <c r="G76" s="357" t="e">
        <f t="shared" si="2"/>
        <v>#DIV/0!</v>
      </c>
      <c r="H76" s="358">
        <f t="shared" si="3"/>
        <v>0</v>
      </c>
    </row>
    <row r="77" spans="2:8" ht="15">
      <c r="B77" s="376"/>
      <c r="C77" s="377"/>
      <c r="D77" s="378" t="s">
        <v>870</v>
      </c>
      <c r="E77" s="370">
        <v>0</v>
      </c>
      <c r="F77" s="370">
        <v>0</v>
      </c>
      <c r="G77" s="357" t="e">
        <f t="shared" si="2"/>
        <v>#DIV/0!</v>
      </c>
      <c r="H77" s="358">
        <f t="shared" si="3"/>
        <v>0</v>
      </c>
    </row>
    <row r="78" spans="2:8" ht="15">
      <c r="B78" s="376"/>
      <c r="C78" s="377"/>
      <c r="D78" s="378" t="s">
        <v>871</v>
      </c>
      <c r="E78" s="370">
        <v>0</v>
      </c>
      <c r="F78" s="370">
        <v>0</v>
      </c>
      <c r="G78" s="357" t="e">
        <f t="shared" si="2"/>
        <v>#DIV/0!</v>
      </c>
      <c r="H78" s="358">
        <f t="shared" si="3"/>
        <v>0</v>
      </c>
    </row>
    <row r="79" spans="2:8" ht="15">
      <c r="B79" s="371"/>
      <c r="C79" s="372"/>
      <c r="D79" s="373" t="s">
        <v>872</v>
      </c>
      <c r="E79" s="374">
        <f>+E80</f>
        <v>0</v>
      </c>
      <c r="F79" s="375">
        <f>+F80</f>
        <v>0</v>
      </c>
      <c r="G79" s="357" t="e">
        <f t="shared" si="2"/>
        <v>#DIV/0!</v>
      </c>
      <c r="H79" s="358">
        <f t="shared" si="3"/>
        <v>0</v>
      </c>
    </row>
    <row r="80" spans="2:8" ht="15">
      <c r="B80" s="376"/>
      <c r="C80" s="377"/>
      <c r="D80" s="378" t="s">
        <v>872</v>
      </c>
      <c r="E80" s="370">
        <v>0</v>
      </c>
      <c r="F80" s="370">
        <v>0</v>
      </c>
      <c r="G80" s="357" t="e">
        <f t="shared" si="2"/>
        <v>#DIV/0!</v>
      </c>
      <c r="H80" s="358">
        <f t="shared" si="3"/>
        <v>0</v>
      </c>
    </row>
    <row r="81" spans="2:8" ht="15">
      <c r="B81" s="371"/>
      <c r="C81" s="372"/>
      <c r="D81" s="373" t="s">
        <v>20</v>
      </c>
      <c r="E81" s="374">
        <f>+E82+E83</f>
        <v>0</v>
      </c>
      <c r="F81" s="375">
        <f>+F82+F83</f>
        <v>0</v>
      </c>
      <c r="G81" s="357" t="e">
        <f t="shared" si="2"/>
        <v>#DIV/0!</v>
      </c>
      <c r="H81" s="358">
        <f t="shared" si="3"/>
        <v>0</v>
      </c>
    </row>
    <row r="82" spans="2:8" ht="15">
      <c r="B82" s="376"/>
      <c r="C82" s="377"/>
      <c r="D82" s="378" t="s">
        <v>873</v>
      </c>
      <c r="E82" s="370">
        <v>0</v>
      </c>
      <c r="F82" s="370">
        <v>0</v>
      </c>
      <c r="G82" s="357" t="e">
        <f t="shared" si="2"/>
        <v>#DIV/0!</v>
      </c>
      <c r="H82" s="358">
        <f t="shared" si="3"/>
        <v>0</v>
      </c>
    </row>
    <row r="83" spans="2:8" ht="15">
      <c r="B83" s="376"/>
      <c r="C83" s="377"/>
      <c r="D83" s="378" t="s">
        <v>874</v>
      </c>
      <c r="E83" s="370">
        <v>0</v>
      </c>
      <c r="F83" s="370">
        <v>0</v>
      </c>
      <c r="G83" s="357" t="e">
        <f t="shared" si="2"/>
        <v>#DIV/0!</v>
      </c>
      <c r="H83" s="358">
        <f t="shared" si="3"/>
        <v>0</v>
      </c>
    </row>
    <row r="84" spans="2:8" ht="15">
      <c r="B84" s="385"/>
      <c r="C84" s="386"/>
      <c r="D84" s="387"/>
      <c r="E84" s="370">
        <v>0</v>
      </c>
      <c r="F84" s="370">
        <v>0</v>
      </c>
      <c r="G84" s="357" t="e">
        <f t="shared" si="2"/>
        <v>#DIV/0!</v>
      </c>
      <c r="H84" s="358">
        <f t="shared" si="3"/>
        <v>0</v>
      </c>
    </row>
    <row r="85" spans="2:8" ht="15">
      <c r="B85" s="352"/>
      <c r="C85" s="388">
        <v>2</v>
      </c>
      <c r="D85" s="360" t="s">
        <v>245</v>
      </c>
      <c r="E85" s="389">
        <f>+E86+E121+E124</f>
        <v>0</v>
      </c>
      <c r="F85" s="390">
        <f>+F86+F121+F124</f>
        <v>0</v>
      </c>
      <c r="G85" s="357" t="e">
        <f t="shared" si="2"/>
        <v>#DIV/0!</v>
      </c>
      <c r="H85" s="358">
        <f t="shared" si="3"/>
        <v>0</v>
      </c>
    </row>
    <row r="86" spans="2:8" ht="15">
      <c r="B86" s="352"/>
      <c r="C86" s="382"/>
      <c r="D86" s="365" t="s">
        <v>1177</v>
      </c>
      <c r="E86" s="366">
        <f>+E87+E91+E99+E101</f>
        <v>0</v>
      </c>
      <c r="F86" s="367">
        <f>+F87+F91+F99+F101</f>
        <v>0</v>
      </c>
      <c r="G86" s="357" t="e">
        <f t="shared" si="2"/>
        <v>#DIV/0!</v>
      </c>
      <c r="H86" s="358">
        <f t="shared" si="3"/>
        <v>0</v>
      </c>
    </row>
    <row r="87" spans="2:8" ht="15">
      <c r="B87" s="363"/>
      <c r="C87" s="391"/>
      <c r="D87" s="381" t="s">
        <v>875</v>
      </c>
      <c r="E87" s="374">
        <f>SUM(E88:E90)</f>
        <v>0</v>
      </c>
      <c r="F87" s="375">
        <f>SUM(F88:F90)</f>
        <v>0</v>
      </c>
      <c r="G87" s="357" t="e">
        <f t="shared" si="2"/>
        <v>#DIV/0!</v>
      </c>
      <c r="H87" s="358">
        <f t="shared" si="3"/>
        <v>0</v>
      </c>
    </row>
    <row r="88" spans="2:8" ht="15">
      <c r="B88" s="385"/>
      <c r="C88" s="386"/>
      <c r="D88" s="392" t="s">
        <v>876</v>
      </c>
      <c r="E88" s="370">
        <v>0</v>
      </c>
      <c r="F88" s="370">
        <v>0</v>
      </c>
      <c r="G88" s="357" t="e">
        <f t="shared" si="2"/>
        <v>#DIV/0!</v>
      </c>
      <c r="H88" s="358">
        <f t="shared" si="3"/>
        <v>0</v>
      </c>
    </row>
    <row r="89" spans="2:8" ht="15">
      <c r="B89" s="385"/>
      <c r="C89" s="386"/>
      <c r="D89" s="392" t="s">
        <v>877</v>
      </c>
      <c r="E89" s="370">
        <v>0</v>
      </c>
      <c r="F89" s="370">
        <v>0</v>
      </c>
      <c r="G89" s="357" t="e">
        <f t="shared" si="2"/>
        <v>#DIV/0!</v>
      </c>
      <c r="H89" s="358">
        <f t="shared" si="3"/>
        <v>0</v>
      </c>
    </row>
    <row r="90" spans="2:8" ht="15">
      <c r="B90" s="385"/>
      <c r="C90" s="386"/>
      <c r="D90" s="392" t="s">
        <v>878</v>
      </c>
      <c r="E90" s="370">
        <v>0</v>
      </c>
      <c r="F90" s="370">
        <v>0</v>
      </c>
      <c r="G90" s="357" t="e">
        <f t="shared" si="2"/>
        <v>#DIV/0!</v>
      </c>
      <c r="H90" s="358">
        <f t="shared" si="3"/>
        <v>0</v>
      </c>
    </row>
    <row r="91" spans="2:8" ht="15">
      <c r="B91" s="363"/>
      <c r="C91" s="391"/>
      <c r="D91" s="381" t="s">
        <v>879</v>
      </c>
      <c r="E91" s="374">
        <f>+E92+E93+E94+E95+E96+E97+E98</f>
        <v>0</v>
      </c>
      <c r="F91" s="375">
        <f>+F92+F93+F94+F95+F96+F97+F98</f>
        <v>0</v>
      </c>
      <c r="G91" s="357" t="e">
        <f t="shared" si="2"/>
        <v>#DIV/0!</v>
      </c>
      <c r="H91" s="358">
        <f t="shared" si="3"/>
        <v>0</v>
      </c>
    </row>
    <row r="92" spans="2:8" ht="15">
      <c r="B92" s="385"/>
      <c r="C92" s="386"/>
      <c r="D92" s="392" t="s">
        <v>880</v>
      </c>
      <c r="E92" s="370">
        <v>0</v>
      </c>
      <c r="F92" s="370">
        <v>0</v>
      </c>
      <c r="G92" s="357" t="e">
        <f t="shared" si="2"/>
        <v>#DIV/0!</v>
      </c>
      <c r="H92" s="358">
        <f t="shared" si="3"/>
        <v>0</v>
      </c>
    </row>
    <row r="93" spans="2:8" ht="15">
      <c r="B93" s="385"/>
      <c r="C93" s="386"/>
      <c r="D93" s="392" t="s">
        <v>881</v>
      </c>
      <c r="E93" s="370">
        <v>0</v>
      </c>
      <c r="F93" s="370">
        <v>0</v>
      </c>
      <c r="G93" s="357" t="e">
        <f t="shared" si="2"/>
        <v>#DIV/0!</v>
      </c>
      <c r="H93" s="358">
        <f t="shared" si="3"/>
        <v>0</v>
      </c>
    </row>
    <row r="94" spans="2:8" ht="15">
      <c r="B94" s="385"/>
      <c r="C94" s="386"/>
      <c r="D94" s="392" t="s">
        <v>882</v>
      </c>
      <c r="E94" s="370">
        <v>0</v>
      </c>
      <c r="F94" s="370">
        <v>0</v>
      </c>
      <c r="G94" s="357" t="e">
        <f t="shared" si="2"/>
        <v>#DIV/0!</v>
      </c>
      <c r="H94" s="358">
        <f t="shared" si="3"/>
        <v>0</v>
      </c>
    </row>
    <row r="95" spans="2:8" ht="15">
      <c r="B95" s="385"/>
      <c r="C95" s="386"/>
      <c r="D95" s="392" t="s">
        <v>883</v>
      </c>
      <c r="E95" s="370">
        <v>0</v>
      </c>
      <c r="F95" s="370">
        <v>0</v>
      </c>
      <c r="G95" s="357" t="e">
        <f t="shared" si="2"/>
        <v>#DIV/0!</v>
      </c>
      <c r="H95" s="358">
        <f t="shared" si="3"/>
        <v>0</v>
      </c>
    </row>
    <row r="96" spans="2:8" ht="15">
      <c r="B96" s="385"/>
      <c r="C96" s="386"/>
      <c r="D96" s="392" t="s">
        <v>884</v>
      </c>
      <c r="E96" s="370">
        <v>0</v>
      </c>
      <c r="F96" s="370">
        <v>0</v>
      </c>
      <c r="G96" s="357" t="e">
        <f t="shared" si="2"/>
        <v>#DIV/0!</v>
      </c>
      <c r="H96" s="358">
        <f t="shared" si="3"/>
        <v>0</v>
      </c>
    </row>
    <row r="97" spans="2:8" ht="15">
      <c r="B97" s="385"/>
      <c r="C97" s="386"/>
      <c r="D97" s="392" t="s">
        <v>878</v>
      </c>
      <c r="E97" s="370">
        <v>0</v>
      </c>
      <c r="F97" s="370">
        <v>0</v>
      </c>
      <c r="G97" s="357" t="e">
        <f t="shared" si="2"/>
        <v>#DIV/0!</v>
      </c>
      <c r="H97" s="358">
        <f t="shared" si="3"/>
        <v>0</v>
      </c>
    </row>
    <row r="98" spans="2:8" ht="15">
      <c r="B98" s="385"/>
      <c r="C98" s="386"/>
      <c r="D98" s="392" t="s">
        <v>885</v>
      </c>
      <c r="E98" s="370">
        <v>0</v>
      </c>
      <c r="F98" s="370">
        <v>0</v>
      </c>
      <c r="G98" s="357" t="e">
        <f t="shared" si="2"/>
        <v>#DIV/0!</v>
      </c>
      <c r="H98" s="358">
        <f t="shared" si="3"/>
        <v>0</v>
      </c>
    </row>
    <row r="99" spans="2:8" ht="15">
      <c r="B99" s="363"/>
      <c r="C99" s="391"/>
      <c r="D99" s="381" t="s">
        <v>793</v>
      </c>
      <c r="E99" s="374">
        <f>SUM(E100)</f>
        <v>0</v>
      </c>
      <c r="F99" s="375">
        <f>SUM(F100)</f>
        <v>0</v>
      </c>
      <c r="G99" s="357" t="e">
        <f t="shared" si="2"/>
        <v>#DIV/0!</v>
      </c>
      <c r="H99" s="358">
        <f t="shared" si="3"/>
        <v>0</v>
      </c>
    </row>
    <row r="100" spans="2:8" ht="15">
      <c r="B100" s="385"/>
      <c r="C100" s="386"/>
      <c r="D100" s="392" t="s">
        <v>793</v>
      </c>
      <c r="E100" s="370">
        <v>0</v>
      </c>
      <c r="F100" s="370">
        <v>0</v>
      </c>
      <c r="G100" s="357" t="e">
        <f t="shared" si="2"/>
        <v>#DIV/0!</v>
      </c>
      <c r="H100" s="358">
        <f t="shared" si="3"/>
        <v>0</v>
      </c>
    </row>
    <row r="101" spans="2:8" ht="15">
      <c r="B101" s="363"/>
      <c r="C101" s="391"/>
      <c r="D101" s="381" t="s">
        <v>794</v>
      </c>
      <c r="E101" s="374">
        <f>+E102+E113</f>
        <v>0</v>
      </c>
      <c r="F101" s="375">
        <f>+F102+F113</f>
        <v>0</v>
      </c>
      <c r="G101" s="357" t="e">
        <f t="shared" si="2"/>
        <v>#DIV/0!</v>
      </c>
      <c r="H101" s="358">
        <f t="shared" si="3"/>
        <v>0</v>
      </c>
    </row>
    <row r="102" spans="2:8" ht="15">
      <c r="B102" s="363"/>
      <c r="C102" s="368"/>
      <c r="D102" s="373" t="s">
        <v>886</v>
      </c>
      <c r="E102" s="374">
        <f>+E103+E104+E105+E106+E107+E108+E109+E110+E111+E112</f>
        <v>0</v>
      </c>
      <c r="F102" s="375">
        <f>+F103+F104+F105+F106+F107+F108+F109+F110+F111+F112</f>
        <v>0</v>
      </c>
      <c r="G102" s="357" t="e">
        <f t="shared" si="2"/>
        <v>#DIV/0!</v>
      </c>
      <c r="H102" s="358">
        <f t="shared" si="3"/>
        <v>0</v>
      </c>
    </row>
    <row r="103" spans="2:8" ht="15">
      <c r="B103" s="385"/>
      <c r="C103" s="386"/>
      <c r="D103" s="392" t="s">
        <v>887</v>
      </c>
      <c r="E103" s="370">
        <v>0</v>
      </c>
      <c r="F103" s="370">
        <v>0</v>
      </c>
      <c r="G103" s="357" t="e">
        <f t="shared" si="2"/>
        <v>#DIV/0!</v>
      </c>
      <c r="H103" s="358">
        <f t="shared" si="3"/>
        <v>0</v>
      </c>
    </row>
    <row r="104" spans="2:8" ht="15">
      <c r="B104" s="385"/>
      <c r="C104" s="386"/>
      <c r="D104" s="392" t="s">
        <v>888</v>
      </c>
      <c r="E104" s="370">
        <v>0</v>
      </c>
      <c r="F104" s="370">
        <v>0</v>
      </c>
      <c r="G104" s="357" t="e">
        <f t="shared" si="2"/>
        <v>#DIV/0!</v>
      </c>
      <c r="H104" s="358">
        <f t="shared" si="3"/>
        <v>0</v>
      </c>
    </row>
    <row r="105" spans="2:8" ht="15">
      <c r="B105" s="385"/>
      <c r="C105" s="386"/>
      <c r="D105" s="392" t="s">
        <v>889</v>
      </c>
      <c r="E105" s="370">
        <v>0</v>
      </c>
      <c r="F105" s="370">
        <v>0</v>
      </c>
      <c r="G105" s="357" t="e">
        <f t="shared" si="2"/>
        <v>#DIV/0!</v>
      </c>
      <c r="H105" s="358">
        <f t="shared" si="3"/>
        <v>0</v>
      </c>
    </row>
    <row r="106" spans="2:8" ht="15">
      <c r="B106" s="385"/>
      <c r="C106" s="386"/>
      <c r="D106" s="392" t="s">
        <v>890</v>
      </c>
      <c r="E106" s="370">
        <v>0</v>
      </c>
      <c r="F106" s="370">
        <v>0</v>
      </c>
      <c r="G106" s="357" t="e">
        <f t="shared" si="2"/>
        <v>#DIV/0!</v>
      </c>
      <c r="H106" s="358">
        <f t="shared" si="3"/>
        <v>0</v>
      </c>
    </row>
    <row r="107" spans="2:8" ht="15">
      <c r="B107" s="385"/>
      <c r="C107" s="386"/>
      <c r="D107" s="392" t="s">
        <v>891</v>
      </c>
      <c r="E107" s="370">
        <v>0</v>
      </c>
      <c r="F107" s="370">
        <v>0</v>
      </c>
      <c r="G107" s="357" t="e">
        <f t="shared" si="2"/>
        <v>#DIV/0!</v>
      </c>
      <c r="H107" s="358">
        <f t="shared" si="3"/>
        <v>0</v>
      </c>
    </row>
    <row r="108" spans="2:8" ht="15">
      <c r="B108" s="385"/>
      <c r="C108" s="386"/>
      <c r="D108" s="392" t="s">
        <v>892</v>
      </c>
      <c r="E108" s="370">
        <v>0</v>
      </c>
      <c r="F108" s="370">
        <v>0</v>
      </c>
      <c r="G108" s="357" t="e">
        <f t="shared" si="2"/>
        <v>#DIV/0!</v>
      </c>
      <c r="H108" s="358">
        <f t="shared" si="3"/>
        <v>0</v>
      </c>
    </row>
    <row r="109" spans="2:8" ht="15">
      <c r="B109" s="385"/>
      <c r="C109" s="386"/>
      <c r="D109" s="392" t="s">
        <v>893</v>
      </c>
      <c r="E109" s="370">
        <v>0</v>
      </c>
      <c r="F109" s="370">
        <v>0</v>
      </c>
      <c r="G109" s="357" t="e">
        <f t="shared" si="2"/>
        <v>#DIV/0!</v>
      </c>
      <c r="H109" s="358">
        <f t="shared" si="3"/>
        <v>0</v>
      </c>
    </row>
    <row r="110" spans="2:8" ht="15">
      <c r="B110" s="385"/>
      <c r="C110" s="386"/>
      <c r="D110" s="392" t="s">
        <v>894</v>
      </c>
      <c r="E110" s="370">
        <v>0</v>
      </c>
      <c r="F110" s="370">
        <v>0</v>
      </c>
      <c r="G110" s="357" t="e">
        <f t="shared" si="2"/>
        <v>#DIV/0!</v>
      </c>
      <c r="H110" s="358">
        <f t="shared" si="3"/>
        <v>0</v>
      </c>
    </row>
    <row r="111" spans="2:8" ht="15">
      <c r="B111" s="385"/>
      <c r="C111" s="386"/>
      <c r="D111" s="392" t="s">
        <v>895</v>
      </c>
      <c r="E111" s="370">
        <v>0</v>
      </c>
      <c r="F111" s="370">
        <v>0</v>
      </c>
      <c r="G111" s="357" t="e">
        <f t="shared" si="2"/>
        <v>#DIV/0!</v>
      </c>
      <c r="H111" s="358">
        <f t="shared" si="3"/>
        <v>0</v>
      </c>
    </row>
    <row r="112" spans="2:8" ht="15">
      <c r="B112" s="385"/>
      <c r="C112" s="386"/>
      <c r="D112" s="392" t="s">
        <v>896</v>
      </c>
      <c r="E112" s="370">
        <v>0</v>
      </c>
      <c r="F112" s="370">
        <v>0</v>
      </c>
      <c r="G112" s="357" t="e">
        <f t="shared" si="2"/>
        <v>#DIV/0!</v>
      </c>
      <c r="H112" s="358">
        <f t="shared" si="3"/>
        <v>0</v>
      </c>
    </row>
    <row r="113" spans="2:8" ht="15">
      <c r="B113" s="363"/>
      <c r="C113" s="391"/>
      <c r="D113" s="381" t="s">
        <v>897</v>
      </c>
      <c r="E113" s="374">
        <f>+E114+E115+E116+E117+E118+E119+E120</f>
        <v>0</v>
      </c>
      <c r="F113" s="375">
        <f>+F114+F115+F116+F117+F118+F119+F120</f>
        <v>0</v>
      </c>
      <c r="G113" s="357" t="e">
        <f t="shared" si="2"/>
        <v>#DIV/0!</v>
      </c>
      <c r="H113" s="358">
        <f t="shared" si="3"/>
        <v>0</v>
      </c>
    </row>
    <row r="114" spans="2:8" ht="15">
      <c r="B114" s="385"/>
      <c r="C114" s="386"/>
      <c r="D114" s="392" t="s">
        <v>898</v>
      </c>
      <c r="E114" s="370">
        <v>0</v>
      </c>
      <c r="F114" s="370">
        <v>0</v>
      </c>
      <c r="G114" s="357" t="e">
        <f t="shared" si="2"/>
        <v>#DIV/0!</v>
      </c>
      <c r="H114" s="358">
        <f t="shared" si="3"/>
        <v>0</v>
      </c>
    </row>
    <row r="115" spans="2:8" ht="15">
      <c r="B115" s="385"/>
      <c r="C115" s="386"/>
      <c r="D115" s="392" t="s">
        <v>899</v>
      </c>
      <c r="E115" s="370">
        <v>0</v>
      </c>
      <c r="F115" s="370">
        <v>0</v>
      </c>
      <c r="G115" s="357" t="e">
        <f t="shared" si="2"/>
        <v>#DIV/0!</v>
      </c>
      <c r="H115" s="358">
        <f t="shared" si="3"/>
        <v>0</v>
      </c>
    </row>
    <row r="116" spans="2:8" ht="15">
      <c r="B116" s="385"/>
      <c r="C116" s="386"/>
      <c r="D116" s="392" t="s">
        <v>900</v>
      </c>
      <c r="E116" s="370">
        <v>0</v>
      </c>
      <c r="F116" s="370">
        <v>0</v>
      </c>
      <c r="G116" s="357" t="e">
        <f t="shared" si="2"/>
        <v>#DIV/0!</v>
      </c>
      <c r="H116" s="358">
        <f t="shared" si="3"/>
        <v>0</v>
      </c>
    </row>
    <row r="117" spans="2:8" ht="15">
      <c r="B117" s="385"/>
      <c r="C117" s="386"/>
      <c r="D117" s="392" t="s">
        <v>901</v>
      </c>
      <c r="E117" s="370">
        <v>0</v>
      </c>
      <c r="F117" s="370">
        <v>0</v>
      </c>
      <c r="G117" s="357" t="e">
        <f t="shared" si="2"/>
        <v>#DIV/0!</v>
      </c>
      <c r="H117" s="358">
        <f t="shared" si="3"/>
        <v>0</v>
      </c>
    </row>
    <row r="118" spans="2:8" ht="15">
      <c r="B118" s="385"/>
      <c r="C118" s="386"/>
      <c r="D118" s="392" t="s">
        <v>902</v>
      </c>
      <c r="E118" s="370">
        <v>0</v>
      </c>
      <c r="F118" s="370">
        <v>0</v>
      </c>
      <c r="G118" s="357" t="e">
        <f t="shared" si="2"/>
        <v>#DIV/0!</v>
      </c>
      <c r="H118" s="358">
        <f t="shared" si="3"/>
        <v>0</v>
      </c>
    </row>
    <row r="119" spans="2:8" ht="15">
      <c r="B119" s="385"/>
      <c r="C119" s="386"/>
      <c r="D119" s="392" t="s">
        <v>903</v>
      </c>
      <c r="E119" s="370">
        <v>0</v>
      </c>
      <c r="F119" s="370">
        <v>0</v>
      </c>
      <c r="G119" s="357" t="e">
        <f t="shared" si="2"/>
        <v>#DIV/0!</v>
      </c>
      <c r="H119" s="358">
        <f t="shared" si="3"/>
        <v>0</v>
      </c>
    </row>
    <row r="120" spans="2:8" ht="15">
      <c r="B120" s="385"/>
      <c r="C120" s="386"/>
      <c r="D120" s="392" t="s">
        <v>904</v>
      </c>
      <c r="E120" s="370">
        <v>0</v>
      </c>
      <c r="F120" s="370">
        <v>0</v>
      </c>
      <c r="G120" s="357" t="e">
        <f t="shared" si="2"/>
        <v>#DIV/0!</v>
      </c>
      <c r="H120" s="358">
        <f t="shared" si="3"/>
        <v>0</v>
      </c>
    </row>
    <row r="121" spans="2:8" ht="15">
      <c r="B121" s="352"/>
      <c r="C121" s="382"/>
      <c r="D121" s="365" t="s">
        <v>1401</v>
      </c>
      <c r="E121" s="366">
        <f>+E122+E123</f>
        <v>0</v>
      </c>
      <c r="F121" s="367">
        <f>+F122+F123</f>
        <v>0</v>
      </c>
      <c r="G121" s="357" t="e">
        <f t="shared" si="2"/>
        <v>#DIV/0!</v>
      </c>
      <c r="H121" s="358">
        <f t="shared" si="3"/>
        <v>0</v>
      </c>
    </row>
    <row r="122" spans="2:8" ht="15">
      <c r="B122" s="363"/>
      <c r="C122" s="368"/>
      <c r="D122" s="369" t="s">
        <v>1175</v>
      </c>
      <c r="E122" s="370">
        <v>0</v>
      </c>
      <c r="F122" s="370">
        <v>0</v>
      </c>
      <c r="G122" s="357" t="e">
        <f t="shared" si="2"/>
        <v>#DIV/0!</v>
      </c>
      <c r="H122" s="358">
        <f t="shared" si="3"/>
        <v>0</v>
      </c>
    </row>
    <row r="123" spans="2:8" ht="15">
      <c r="B123" s="363"/>
      <c r="C123" s="368"/>
      <c r="D123" s="369" t="s">
        <v>1176</v>
      </c>
      <c r="E123" s="370">
        <v>0</v>
      </c>
      <c r="F123" s="370">
        <v>0</v>
      </c>
      <c r="G123" s="357" t="e">
        <f t="shared" si="2"/>
        <v>#DIV/0!</v>
      </c>
      <c r="H123" s="358">
        <f t="shared" si="3"/>
        <v>0</v>
      </c>
    </row>
    <row r="124" spans="2:8" ht="15">
      <c r="B124" s="352"/>
      <c r="C124" s="382"/>
      <c r="D124" s="365" t="s">
        <v>250</v>
      </c>
      <c r="E124" s="366">
        <f>+E125+E132</f>
        <v>0</v>
      </c>
      <c r="F124" s="367">
        <f>+F125+F132</f>
        <v>0</v>
      </c>
      <c r="G124" s="357" t="e">
        <f t="shared" si="2"/>
        <v>#DIV/0!</v>
      </c>
      <c r="H124" s="358">
        <f t="shared" si="3"/>
        <v>0</v>
      </c>
    </row>
    <row r="125" spans="2:8" ht="15">
      <c r="B125" s="363"/>
      <c r="C125" s="382"/>
      <c r="D125" s="393" t="s">
        <v>905</v>
      </c>
      <c r="E125" s="394">
        <f>+E126</f>
        <v>0</v>
      </c>
      <c r="F125" s="395">
        <f>+F126</f>
        <v>0</v>
      </c>
      <c r="G125" s="357" t="e">
        <f t="shared" si="2"/>
        <v>#DIV/0!</v>
      </c>
      <c r="H125" s="358">
        <f t="shared" si="3"/>
        <v>0</v>
      </c>
    </row>
    <row r="126" spans="2:8" ht="15">
      <c r="B126" s="385"/>
      <c r="C126" s="386"/>
      <c r="D126" s="373" t="s">
        <v>906</v>
      </c>
      <c r="E126" s="374">
        <f>+E127+E128+E129+E130+E131</f>
        <v>0</v>
      </c>
      <c r="F126" s="375">
        <f>+F127+F128+F129+F130+F131</f>
        <v>0</v>
      </c>
      <c r="G126" s="357" t="e">
        <f t="shared" si="2"/>
        <v>#DIV/0!</v>
      </c>
      <c r="H126" s="358">
        <f t="shared" si="3"/>
        <v>0</v>
      </c>
    </row>
    <row r="127" spans="2:8" ht="15">
      <c r="B127" s="385"/>
      <c r="C127" s="386"/>
      <c r="D127" s="392" t="s">
        <v>907</v>
      </c>
      <c r="E127" s="370">
        <v>0</v>
      </c>
      <c r="F127" s="370">
        <v>0</v>
      </c>
      <c r="G127" s="357" t="e">
        <f t="shared" si="2"/>
        <v>#DIV/0!</v>
      </c>
      <c r="H127" s="358">
        <f t="shared" si="3"/>
        <v>0</v>
      </c>
    </row>
    <row r="128" spans="2:8" ht="15">
      <c r="B128" s="385"/>
      <c r="C128" s="386"/>
      <c r="D128" s="392" t="s">
        <v>908</v>
      </c>
      <c r="E128" s="370">
        <v>0</v>
      </c>
      <c r="F128" s="370">
        <v>0</v>
      </c>
      <c r="G128" s="357" t="e">
        <f t="shared" si="2"/>
        <v>#DIV/0!</v>
      </c>
      <c r="H128" s="358">
        <f t="shared" si="3"/>
        <v>0</v>
      </c>
    </row>
    <row r="129" spans="2:8" ht="15">
      <c r="B129" s="385"/>
      <c r="C129" s="386"/>
      <c r="D129" s="392" t="s">
        <v>909</v>
      </c>
      <c r="E129" s="370">
        <v>0</v>
      </c>
      <c r="F129" s="370">
        <v>0</v>
      </c>
      <c r="G129" s="357" t="e">
        <f t="shared" si="2"/>
        <v>#DIV/0!</v>
      </c>
      <c r="H129" s="358">
        <f t="shared" si="3"/>
        <v>0</v>
      </c>
    </row>
    <row r="130" spans="2:8" ht="15">
      <c r="B130" s="385"/>
      <c r="C130" s="386"/>
      <c r="D130" s="392" t="s">
        <v>910</v>
      </c>
      <c r="E130" s="370">
        <v>0</v>
      </c>
      <c r="F130" s="370">
        <v>0</v>
      </c>
      <c r="G130" s="357" t="e">
        <f t="shared" si="2"/>
        <v>#DIV/0!</v>
      </c>
      <c r="H130" s="358">
        <f t="shared" si="3"/>
        <v>0</v>
      </c>
    </row>
    <row r="131" spans="2:8" ht="15">
      <c r="B131" s="385"/>
      <c r="C131" s="386"/>
      <c r="D131" s="392" t="s">
        <v>911</v>
      </c>
      <c r="E131" s="370">
        <v>0</v>
      </c>
      <c r="F131" s="370">
        <v>0</v>
      </c>
      <c r="G131" s="357" t="e">
        <f t="shared" si="2"/>
        <v>#DIV/0!</v>
      </c>
      <c r="H131" s="358">
        <f t="shared" si="3"/>
        <v>0</v>
      </c>
    </row>
    <row r="132" spans="2:8" ht="15">
      <c r="B132" s="363"/>
      <c r="C132" s="382"/>
      <c r="D132" s="393" t="s">
        <v>912</v>
      </c>
      <c r="E132" s="396">
        <v>0</v>
      </c>
      <c r="F132" s="397">
        <v>0</v>
      </c>
      <c r="G132" s="357" t="e">
        <f t="shared" si="2"/>
        <v>#DIV/0!</v>
      </c>
      <c r="H132" s="358">
        <f t="shared" si="3"/>
        <v>0</v>
      </c>
    </row>
    <row r="133" spans="2:8" ht="15">
      <c r="B133" s="385"/>
      <c r="C133" s="386"/>
      <c r="D133" s="392"/>
      <c r="E133" s="398"/>
      <c r="F133" s="399"/>
      <c r="G133" s="357" t="e">
        <f t="shared" si="2"/>
        <v>#DIV/0!</v>
      </c>
      <c r="H133" s="358">
        <f t="shared" si="3"/>
        <v>0</v>
      </c>
    </row>
    <row r="134" spans="2:8" ht="15">
      <c r="B134" s="352"/>
      <c r="C134" s="400">
        <v>3</v>
      </c>
      <c r="D134" s="360" t="s">
        <v>913</v>
      </c>
      <c r="E134" s="401">
        <f>+E135+E137+E138</f>
        <v>0</v>
      </c>
      <c r="F134" s="402">
        <f>+F135+F137+F138</f>
        <v>0</v>
      </c>
      <c r="G134" s="357" t="e">
        <f t="shared" si="2"/>
        <v>#DIV/0!</v>
      </c>
      <c r="H134" s="358">
        <f t="shared" si="3"/>
        <v>0</v>
      </c>
    </row>
    <row r="135" spans="2:8" ht="15">
      <c r="B135" s="352"/>
      <c r="C135" s="382"/>
      <c r="D135" s="365" t="s">
        <v>251</v>
      </c>
      <c r="E135" s="403">
        <f>E136</f>
        <v>0</v>
      </c>
      <c r="F135" s="404">
        <f>F136</f>
        <v>0</v>
      </c>
      <c r="G135" s="357" t="e">
        <f aca="true" t="shared" si="4" ref="G135:G151">(E135-F135)/F135*100</f>
        <v>#DIV/0!</v>
      </c>
      <c r="H135" s="358">
        <f t="shared" si="3"/>
        <v>0</v>
      </c>
    </row>
    <row r="136" spans="2:8" ht="15">
      <c r="B136" s="385"/>
      <c r="C136" s="386"/>
      <c r="D136" s="392" t="s">
        <v>914</v>
      </c>
      <c r="E136" s="370">
        <v>0</v>
      </c>
      <c r="F136" s="370">
        <v>0</v>
      </c>
      <c r="G136" s="357" t="e">
        <f t="shared" si="4"/>
        <v>#DIV/0!</v>
      </c>
      <c r="H136" s="358">
        <f aca="true" t="shared" si="5" ref="H136:H151">E136-F136</f>
        <v>0</v>
      </c>
    </row>
    <row r="137" spans="2:8" ht="15">
      <c r="B137" s="405"/>
      <c r="C137" s="382"/>
      <c r="D137" s="365" t="s">
        <v>915</v>
      </c>
      <c r="E137" s="406">
        <v>0</v>
      </c>
      <c r="F137" s="407">
        <v>0</v>
      </c>
      <c r="G137" s="357" t="e">
        <f t="shared" si="4"/>
        <v>#DIV/0!</v>
      </c>
      <c r="H137" s="358">
        <f t="shared" si="5"/>
        <v>0</v>
      </c>
    </row>
    <row r="138" spans="2:8" ht="15">
      <c r="B138" s="352"/>
      <c r="C138" s="382"/>
      <c r="D138" s="408" t="s">
        <v>191</v>
      </c>
      <c r="E138" s="403">
        <f>+E139+E150</f>
        <v>0</v>
      </c>
      <c r="F138" s="404">
        <f>+F139+F150</f>
        <v>0</v>
      </c>
      <c r="G138" s="357" t="e">
        <f t="shared" si="4"/>
        <v>#DIV/0!</v>
      </c>
      <c r="H138" s="358">
        <f t="shared" si="5"/>
        <v>0</v>
      </c>
    </row>
    <row r="139" spans="2:8" ht="15">
      <c r="B139" s="385"/>
      <c r="C139" s="382"/>
      <c r="D139" s="381" t="s">
        <v>916</v>
      </c>
      <c r="E139" s="374">
        <f>+E140+E141+E142+E143+E144+E145+E146+E147+E148+E149</f>
        <v>0</v>
      </c>
      <c r="F139" s="375">
        <f>+F140+F141+F142+F143+F144+F145+F146+F147+F148+F149</f>
        <v>0</v>
      </c>
      <c r="G139" s="357" t="e">
        <f t="shared" si="4"/>
        <v>#DIV/0!</v>
      </c>
      <c r="H139" s="358">
        <f t="shared" si="5"/>
        <v>0</v>
      </c>
    </row>
    <row r="140" spans="2:8" ht="15">
      <c r="B140" s="385"/>
      <c r="C140" s="386"/>
      <c r="D140" s="392" t="s">
        <v>917</v>
      </c>
      <c r="E140" s="370">
        <v>0</v>
      </c>
      <c r="F140" s="370">
        <v>0</v>
      </c>
      <c r="G140" s="357" t="e">
        <f t="shared" si="4"/>
        <v>#DIV/0!</v>
      </c>
      <c r="H140" s="358">
        <f t="shared" si="5"/>
        <v>0</v>
      </c>
    </row>
    <row r="141" spans="2:8" ht="15">
      <c r="B141" s="385"/>
      <c r="C141" s="386"/>
      <c r="D141" s="392" t="s">
        <v>918</v>
      </c>
      <c r="E141" s="370">
        <v>0</v>
      </c>
      <c r="F141" s="370">
        <v>0</v>
      </c>
      <c r="G141" s="357" t="e">
        <f t="shared" si="4"/>
        <v>#DIV/0!</v>
      </c>
      <c r="H141" s="358">
        <f t="shared" si="5"/>
        <v>0</v>
      </c>
    </row>
    <row r="142" spans="2:8" ht="15">
      <c r="B142" s="385"/>
      <c r="C142" s="386"/>
      <c r="D142" s="392" t="s">
        <v>919</v>
      </c>
      <c r="E142" s="370">
        <v>0</v>
      </c>
      <c r="F142" s="370">
        <v>0</v>
      </c>
      <c r="G142" s="357" t="e">
        <f t="shared" si="4"/>
        <v>#DIV/0!</v>
      </c>
      <c r="H142" s="358">
        <f t="shared" si="5"/>
        <v>0</v>
      </c>
    </row>
    <row r="143" spans="2:8" ht="15">
      <c r="B143" s="385"/>
      <c r="C143" s="386"/>
      <c r="D143" s="392" t="s">
        <v>920</v>
      </c>
      <c r="E143" s="370">
        <v>0</v>
      </c>
      <c r="F143" s="370">
        <v>0</v>
      </c>
      <c r="G143" s="357" t="e">
        <f t="shared" si="4"/>
        <v>#DIV/0!</v>
      </c>
      <c r="H143" s="358">
        <f t="shared" si="5"/>
        <v>0</v>
      </c>
    </row>
    <row r="144" spans="2:8" ht="15">
      <c r="B144" s="385"/>
      <c r="C144" s="386"/>
      <c r="D144" s="392" t="s">
        <v>921</v>
      </c>
      <c r="E144" s="370">
        <v>0</v>
      </c>
      <c r="F144" s="370">
        <v>0</v>
      </c>
      <c r="G144" s="357" t="e">
        <f t="shared" si="4"/>
        <v>#DIV/0!</v>
      </c>
      <c r="H144" s="358">
        <f t="shared" si="5"/>
        <v>0</v>
      </c>
    </row>
    <row r="145" spans="2:8" ht="15">
      <c r="B145" s="385"/>
      <c r="C145" s="386"/>
      <c r="D145" s="392" t="s">
        <v>922</v>
      </c>
      <c r="E145" s="370">
        <v>0</v>
      </c>
      <c r="F145" s="370">
        <v>0</v>
      </c>
      <c r="G145" s="357" t="e">
        <f t="shared" si="4"/>
        <v>#DIV/0!</v>
      </c>
      <c r="H145" s="358">
        <f t="shared" si="5"/>
        <v>0</v>
      </c>
    </row>
    <row r="146" spans="2:8" ht="15">
      <c r="B146" s="385"/>
      <c r="C146" s="386"/>
      <c r="D146" s="392" t="s">
        <v>923</v>
      </c>
      <c r="E146" s="370">
        <v>0</v>
      </c>
      <c r="F146" s="370">
        <v>0</v>
      </c>
      <c r="G146" s="357" t="e">
        <f t="shared" si="4"/>
        <v>#DIV/0!</v>
      </c>
      <c r="H146" s="358">
        <f t="shared" si="5"/>
        <v>0</v>
      </c>
    </row>
    <row r="147" spans="2:8" ht="15">
      <c r="B147" s="385"/>
      <c r="C147" s="386"/>
      <c r="D147" s="392" t="s">
        <v>924</v>
      </c>
      <c r="E147" s="370">
        <v>0</v>
      </c>
      <c r="F147" s="370">
        <v>0</v>
      </c>
      <c r="G147" s="357" t="e">
        <f t="shared" si="4"/>
        <v>#DIV/0!</v>
      </c>
      <c r="H147" s="358">
        <f t="shared" si="5"/>
        <v>0</v>
      </c>
    </row>
    <row r="148" spans="2:8" ht="15">
      <c r="B148" s="363"/>
      <c r="C148" s="368"/>
      <c r="D148" s="392" t="s">
        <v>925</v>
      </c>
      <c r="E148" s="370">
        <v>0</v>
      </c>
      <c r="F148" s="370">
        <v>0</v>
      </c>
      <c r="G148" s="357" t="e">
        <f t="shared" si="4"/>
        <v>#DIV/0!</v>
      </c>
      <c r="H148" s="358">
        <f t="shared" si="5"/>
        <v>0</v>
      </c>
    </row>
    <row r="149" spans="2:8" ht="15">
      <c r="B149" s="363"/>
      <c r="C149" s="368"/>
      <c r="D149" s="392" t="s">
        <v>926</v>
      </c>
      <c r="E149" s="370">
        <v>0</v>
      </c>
      <c r="F149" s="370">
        <v>0</v>
      </c>
      <c r="G149" s="357" t="e">
        <f t="shared" si="4"/>
        <v>#DIV/0!</v>
      </c>
      <c r="H149" s="358">
        <f t="shared" si="5"/>
        <v>0</v>
      </c>
    </row>
    <row r="150" spans="2:8" ht="15">
      <c r="B150" s="409"/>
      <c r="C150" s="382"/>
      <c r="D150" s="383" t="s">
        <v>927</v>
      </c>
      <c r="E150" s="374">
        <f>+E151</f>
        <v>0</v>
      </c>
      <c r="F150" s="375">
        <f>+F151</f>
        <v>0</v>
      </c>
      <c r="G150" s="357" t="e">
        <f t="shared" si="4"/>
        <v>#DIV/0!</v>
      </c>
      <c r="H150" s="358">
        <f t="shared" si="5"/>
        <v>0</v>
      </c>
    </row>
    <row r="151" spans="2:8" ht="15">
      <c r="B151" s="385"/>
      <c r="C151" s="386"/>
      <c r="D151" s="392" t="s">
        <v>928</v>
      </c>
      <c r="E151" s="370">
        <v>0</v>
      </c>
      <c r="F151" s="370">
        <v>0</v>
      </c>
      <c r="G151" s="357" t="e">
        <f t="shared" si="4"/>
        <v>#DIV/0!</v>
      </c>
      <c r="H151" s="358">
        <f t="shared" si="5"/>
        <v>0</v>
      </c>
    </row>
    <row r="152" spans="2:8" ht="15">
      <c r="B152" s="410"/>
      <c r="C152" s="411"/>
      <c r="E152" s="384"/>
      <c r="F152" s="384"/>
      <c r="G152" s="357"/>
      <c r="H152" s="358"/>
    </row>
    <row r="153" spans="2:8" ht="30" customHeight="1">
      <c r="B153" s="966"/>
      <c r="C153" s="966"/>
      <c r="D153" s="967"/>
      <c r="E153" s="412" t="s">
        <v>929</v>
      </c>
      <c r="F153" s="413" t="s">
        <v>929</v>
      </c>
      <c r="G153" s="414" t="s">
        <v>1248</v>
      </c>
      <c r="H153" s="415" t="s">
        <v>1224</v>
      </c>
    </row>
    <row r="154" spans="2:9" ht="15">
      <c r="B154" s="416"/>
      <c r="C154" s="353"/>
      <c r="D154" s="354" t="s">
        <v>95</v>
      </c>
      <c r="E154" s="417">
        <f>+E155+E221+E254+E362+E375+E382+E383+E384+E399+E405+E410+E431</f>
        <v>5195079483</v>
      </c>
      <c r="F154" s="417">
        <f>+F155+F221+F254+F362+F375+F382+F383+F384+F399+F405+F410+F431</f>
        <v>0</v>
      </c>
      <c r="G154" s="357" t="e">
        <f aca="true" t="shared" si="6" ref="G154:G217">(E154-F154)/F154*100</f>
        <v>#DIV/0!</v>
      </c>
      <c r="H154" s="358">
        <f aca="true" t="shared" si="7" ref="H154:H217">E154-F154</f>
        <v>5195079483</v>
      </c>
      <c r="I154" s="346"/>
    </row>
    <row r="155" spans="2:8" ht="15">
      <c r="B155" s="418"/>
      <c r="C155" s="419">
        <v>1</v>
      </c>
      <c r="D155" s="360" t="s">
        <v>47</v>
      </c>
      <c r="E155" s="401">
        <f>+E156+E178+E180+E183+E185+E187+E200+E207+E210+E213+E216</f>
        <v>2374611800</v>
      </c>
      <c r="F155" s="402">
        <f>+F156+F178+F180+F183+F185+F187+F200+F207+F210+F213+F216</f>
        <v>0</v>
      </c>
      <c r="G155" s="357" t="e">
        <f t="shared" si="6"/>
        <v>#DIV/0!</v>
      </c>
      <c r="H155" s="358">
        <f t="shared" si="7"/>
        <v>2374611800</v>
      </c>
    </row>
    <row r="156" spans="2:8" ht="15">
      <c r="B156" s="420"/>
      <c r="C156" s="382"/>
      <c r="D156" s="365" t="s">
        <v>930</v>
      </c>
      <c r="E156" s="366">
        <f>+E157+E158+E159+E160+E161+E162+E163+E164+E165+E166+E167+E168+E169+E170+E171+E172+E173+E174+E175+E176+E177</f>
        <v>2374611800</v>
      </c>
      <c r="F156" s="367">
        <f>+F157+F158+F159+F160+F161+F162+F163+F164+F165+F166+F167+F168+F169+F170+F171+F172+F173+F174+F175+F176+F177</f>
        <v>0</v>
      </c>
      <c r="G156" s="357" t="e">
        <f t="shared" si="6"/>
        <v>#DIV/0!</v>
      </c>
      <c r="H156" s="358">
        <f t="shared" si="7"/>
        <v>2374611800</v>
      </c>
    </row>
    <row r="157" spans="2:8" ht="15">
      <c r="B157" s="421"/>
      <c r="C157" s="422"/>
      <c r="D157" s="392" t="s">
        <v>931</v>
      </c>
      <c r="E157" s="370">
        <v>2374611800</v>
      </c>
      <c r="F157" s="370">
        <v>0</v>
      </c>
      <c r="G157" s="357" t="e">
        <f t="shared" si="6"/>
        <v>#DIV/0!</v>
      </c>
      <c r="H157" s="358">
        <f t="shared" si="7"/>
        <v>2374611800</v>
      </c>
    </row>
    <row r="158" spans="2:8" ht="15">
      <c r="B158" s="421"/>
      <c r="C158" s="422"/>
      <c r="D158" s="392" t="s">
        <v>932</v>
      </c>
      <c r="E158" s="370">
        <v>0</v>
      </c>
      <c r="F158" s="370">
        <v>0</v>
      </c>
      <c r="G158" s="357" t="e">
        <f t="shared" si="6"/>
        <v>#DIV/0!</v>
      </c>
      <c r="H158" s="358">
        <f t="shared" si="7"/>
        <v>0</v>
      </c>
    </row>
    <row r="159" spans="2:8" ht="15">
      <c r="B159" s="421"/>
      <c r="C159" s="422"/>
      <c r="D159" s="392" t="s">
        <v>933</v>
      </c>
      <c r="E159" s="370">
        <v>0</v>
      </c>
      <c r="F159" s="370">
        <v>0</v>
      </c>
      <c r="G159" s="357" t="e">
        <f t="shared" si="6"/>
        <v>#DIV/0!</v>
      </c>
      <c r="H159" s="358">
        <f t="shared" si="7"/>
        <v>0</v>
      </c>
    </row>
    <row r="160" spans="2:8" ht="15">
      <c r="B160" s="385"/>
      <c r="C160" s="386"/>
      <c r="D160" s="392" t="s">
        <v>934</v>
      </c>
      <c r="E160" s="370">
        <v>0</v>
      </c>
      <c r="F160" s="370">
        <v>0</v>
      </c>
      <c r="G160" s="357" t="e">
        <f t="shared" si="6"/>
        <v>#DIV/0!</v>
      </c>
      <c r="H160" s="358">
        <f t="shared" si="7"/>
        <v>0</v>
      </c>
    </row>
    <row r="161" spans="2:8" ht="15">
      <c r="B161" s="421"/>
      <c r="C161" s="422"/>
      <c r="D161" s="392" t="s">
        <v>935</v>
      </c>
      <c r="E161" s="370">
        <v>0</v>
      </c>
      <c r="F161" s="370">
        <v>0</v>
      </c>
      <c r="G161" s="357" t="e">
        <f t="shared" si="6"/>
        <v>#DIV/0!</v>
      </c>
      <c r="H161" s="358">
        <f t="shared" si="7"/>
        <v>0</v>
      </c>
    </row>
    <row r="162" spans="2:8" ht="15">
      <c r="B162" s="421"/>
      <c r="C162" s="422"/>
      <c r="D162" s="392" t="s">
        <v>936</v>
      </c>
      <c r="E162" s="370">
        <v>0</v>
      </c>
      <c r="F162" s="370">
        <v>0</v>
      </c>
      <c r="G162" s="357" t="e">
        <f t="shared" si="6"/>
        <v>#DIV/0!</v>
      </c>
      <c r="H162" s="358">
        <f t="shared" si="7"/>
        <v>0</v>
      </c>
    </row>
    <row r="163" spans="2:8" ht="15">
      <c r="B163" s="421"/>
      <c r="C163" s="422"/>
      <c r="D163" s="392" t="s">
        <v>937</v>
      </c>
      <c r="E163" s="370">
        <v>0</v>
      </c>
      <c r="F163" s="370">
        <v>0</v>
      </c>
      <c r="G163" s="357" t="e">
        <f t="shared" si="6"/>
        <v>#DIV/0!</v>
      </c>
      <c r="H163" s="358">
        <f t="shared" si="7"/>
        <v>0</v>
      </c>
    </row>
    <row r="164" spans="2:8" ht="15">
      <c r="B164" s="421"/>
      <c r="C164" s="422"/>
      <c r="D164" s="392" t="s">
        <v>938</v>
      </c>
      <c r="E164" s="370">
        <v>0</v>
      </c>
      <c r="F164" s="370">
        <v>0</v>
      </c>
      <c r="G164" s="357" t="e">
        <f t="shared" si="6"/>
        <v>#DIV/0!</v>
      </c>
      <c r="H164" s="358">
        <f t="shared" si="7"/>
        <v>0</v>
      </c>
    </row>
    <row r="165" spans="2:8" ht="15">
      <c r="B165" s="421"/>
      <c r="C165" s="422"/>
      <c r="D165" s="392" t="s">
        <v>939</v>
      </c>
      <c r="E165" s="370">
        <v>0</v>
      </c>
      <c r="F165" s="370">
        <v>0</v>
      </c>
      <c r="G165" s="357" t="e">
        <f t="shared" si="6"/>
        <v>#DIV/0!</v>
      </c>
      <c r="H165" s="358">
        <f t="shared" si="7"/>
        <v>0</v>
      </c>
    </row>
    <row r="166" spans="2:8" ht="15">
      <c r="B166" s="421"/>
      <c r="C166" s="422"/>
      <c r="D166" s="392" t="s">
        <v>940</v>
      </c>
      <c r="E166" s="370">
        <v>0</v>
      </c>
      <c r="F166" s="370">
        <v>0</v>
      </c>
      <c r="G166" s="357" t="e">
        <f t="shared" si="6"/>
        <v>#DIV/0!</v>
      </c>
      <c r="H166" s="358">
        <f t="shared" si="7"/>
        <v>0</v>
      </c>
    </row>
    <row r="167" spans="2:8" ht="15">
      <c r="B167" s="421"/>
      <c r="C167" s="422"/>
      <c r="D167" s="392" t="s">
        <v>941</v>
      </c>
      <c r="E167" s="370">
        <v>0</v>
      </c>
      <c r="F167" s="370">
        <v>0</v>
      </c>
      <c r="G167" s="357" t="e">
        <f t="shared" si="6"/>
        <v>#DIV/0!</v>
      </c>
      <c r="H167" s="358">
        <f t="shared" si="7"/>
        <v>0</v>
      </c>
    </row>
    <row r="168" spans="2:8" ht="15">
      <c r="B168" s="421"/>
      <c r="C168" s="422"/>
      <c r="D168" s="392" t="s">
        <v>942</v>
      </c>
      <c r="E168" s="370">
        <v>0</v>
      </c>
      <c r="F168" s="370">
        <v>0</v>
      </c>
      <c r="G168" s="357" t="e">
        <f t="shared" si="6"/>
        <v>#DIV/0!</v>
      </c>
      <c r="H168" s="358">
        <f t="shared" si="7"/>
        <v>0</v>
      </c>
    </row>
    <row r="169" spans="2:8" ht="15">
      <c r="B169" s="385"/>
      <c r="C169" s="386"/>
      <c r="D169" s="392" t="s">
        <v>943</v>
      </c>
      <c r="E169" s="370">
        <v>0</v>
      </c>
      <c r="F169" s="370">
        <v>0</v>
      </c>
      <c r="G169" s="357" t="e">
        <f t="shared" si="6"/>
        <v>#DIV/0!</v>
      </c>
      <c r="H169" s="358">
        <f t="shared" si="7"/>
        <v>0</v>
      </c>
    </row>
    <row r="170" spans="2:8" ht="15">
      <c r="B170" s="385"/>
      <c r="C170" s="386"/>
      <c r="D170" s="392" t="s">
        <v>944</v>
      </c>
      <c r="E170" s="370">
        <v>0</v>
      </c>
      <c r="F170" s="370">
        <v>0</v>
      </c>
      <c r="G170" s="357" t="e">
        <f t="shared" si="6"/>
        <v>#DIV/0!</v>
      </c>
      <c r="H170" s="358">
        <f t="shared" si="7"/>
        <v>0</v>
      </c>
    </row>
    <row r="171" spans="2:8" ht="15">
      <c r="B171" s="385"/>
      <c r="C171" s="386"/>
      <c r="D171" s="392" t="s">
        <v>945</v>
      </c>
      <c r="E171" s="370">
        <v>0</v>
      </c>
      <c r="F171" s="370">
        <v>0</v>
      </c>
      <c r="G171" s="357" t="e">
        <f t="shared" si="6"/>
        <v>#DIV/0!</v>
      </c>
      <c r="H171" s="358">
        <f t="shared" si="7"/>
        <v>0</v>
      </c>
    </row>
    <row r="172" spans="2:8" ht="15">
      <c r="B172" s="385"/>
      <c r="C172" s="386"/>
      <c r="D172" s="392" t="s">
        <v>946</v>
      </c>
      <c r="E172" s="370">
        <v>0</v>
      </c>
      <c r="F172" s="370">
        <v>0</v>
      </c>
      <c r="G172" s="357" t="e">
        <f t="shared" si="6"/>
        <v>#DIV/0!</v>
      </c>
      <c r="H172" s="358">
        <f t="shared" si="7"/>
        <v>0</v>
      </c>
    </row>
    <row r="173" spans="2:8" ht="15">
      <c r="B173" s="385"/>
      <c r="C173" s="386"/>
      <c r="D173" s="392" t="s">
        <v>947</v>
      </c>
      <c r="E173" s="370">
        <v>0</v>
      </c>
      <c r="F173" s="370">
        <v>0</v>
      </c>
      <c r="G173" s="357" t="e">
        <f t="shared" si="6"/>
        <v>#DIV/0!</v>
      </c>
      <c r="H173" s="358">
        <f t="shared" si="7"/>
        <v>0</v>
      </c>
    </row>
    <row r="174" spans="2:8" ht="15">
      <c r="B174" s="421"/>
      <c r="C174" s="422"/>
      <c r="D174" s="392" t="s">
        <v>948</v>
      </c>
      <c r="E174" s="370">
        <v>0</v>
      </c>
      <c r="F174" s="370">
        <v>0</v>
      </c>
      <c r="G174" s="357" t="e">
        <f t="shared" si="6"/>
        <v>#DIV/0!</v>
      </c>
      <c r="H174" s="358">
        <f t="shared" si="7"/>
        <v>0</v>
      </c>
    </row>
    <row r="175" spans="2:8" ht="15">
      <c r="B175" s="421"/>
      <c r="C175" s="422"/>
      <c r="D175" s="392" t="s">
        <v>949</v>
      </c>
      <c r="E175" s="370">
        <v>0</v>
      </c>
      <c r="F175" s="370">
        <v>0</v>
      </c>
      <c r="G175" s="357" t="e">
        <f t="shared" si="6"/>
        <v>#DIV/0!</v>
      </c>
      <c r="H175" s="358">
        <f t="shared" si="7"/>
        <v>0</v>
      </c>
    </row>
    <row r="176" spans="2:8" ht="15">
      <c r="B176" s="385"/>
      <c r="C176" s="386"/>
      <c r="D176" s="392" t="s">
        <v>950</v>
      </c>
      <c r="E176" s="370">
        <v>0</v>
      </c>
      <c r="F176" s="370">
        <v>0</v>
      </c>
      <c r="G176" s="357" t="e">
        <f t="shared" si="6"/>
        <v>#DIV/0!</v>
      </c>
      <c r="H176" s="358">
        <f t="shared" si="7"/>
        <v>0</v>
      </c>
    </row>
    <row r="177" spans="2:8" ht="15">
      <c r="B177" s="421"/>
      <c r="C177" s="422"/>
      <c r="D177" s="392" t="s">
        <v>951</v>
      </c>
      <c r="E177" s="370">
        <v>0</v>
      </c>
      <c r="F177" s="370">
        <v>0</v>
      </c>
      <c r="G177" s="357" t="e">
        <f t="shared" si="6"/>
        <v>#DIV/0!</v>
      </c>
      <c r="H177" s="358">
        <f t="shared" si="7"/>
        <v>0</v>
      </c>
    </row>
    <row r="178" spans="2:8" ht="15">
      <c r="B178" s="420"/>
      <c r="C178" s="382"/>
      <c r="D178" s="365" t="s">
        <v>952</v>
      </c>
      <c r="E178" s="366">
        <f>+E179</f>
        <v>0</v>
      </c>
      <c r="F178" s="367">
        <f>+F179</f>
        <v>0</v>
      </c>
      <c r="G178" s="357" t="e">
        <f t="shared" si="6"/>
        <v>#DIV/0!</v>
      </c>
      <c r="H178" s="358">
        <f t="shared" si="7"/>
        <v>0</v>
      </c>
    </row>
    <row r="179" spans="2:8" ht="15">
      <c r="B179" s="385"/>
      <c r="C179" s="386"/>
      <c r="D179" s="392" t="s">
        <v>953</v>
      </c>
      <c r="E179" s="370">
        <v>0</v>
      </c>
      <c r="F179" s="370">
        <v>0</v>
      </c>
      <c r="G179" s="357" t="e">
        <f t="shared" si="6"/>
        <v>#DIV/0!</v>
      </c>
      <c r="H179" s="358">
        <f t="shared" si="7"/>
        <v>0</v>
      </c>
    </row>
    <row r="180" spans="2:8" ht="15">
      <c r="B180" s="420"/>
      <c r="C180" s="382"/>
      <c r="D180" s="365" t="s">
        <v>954</v>
      </c>
      <c r="E180" s="366">
        <f>+E181+E182</f>
        <v>0</v>
      </c>
      <c r="F180" s="367">
        <f>+F181+F182</f>
        <v>0</v>
      </c>
      <c r="G180" s="357" t="e">
        <f t="shared" si="6"/>
        <v>#DIV/0!</v>
      </c>
      <c r="H180" s="358">
        <f t="shared" si="7"/>
        <v>0</v>
      </c>
    </row>
    <row r="181" spans="2:8" ht="15">
      <c r="B181" s="421"/>
      <c r="C181" s="422"/>
      <c r="D181" s="392" t="s">
        <v>955</v>
      </c>
      <c r="E181" s="370">
        <v>0</v>
      </c>
      <c r="F181" s="370">
        <v>0</v>
      </c>
      <c r="G181" s="357" t="e">
        <f t="shared" si="6"/>
        <v>#DIV/0!</v>
      </c>
      <c r="H181" s="358">
        <f t="shared" si="7"/>
        <v>0</v>
      </c>
    </row>
    <row r="182" spans="2:8" ht="15">
      <c r="B182" s="421"/>
      <c r="C182" s="422"/>
      <c r="D182" s="392" t="s">
        <v>956</v>
      </c>
      <c r="E182" s="370">
        <v>0</v>
      </c>
      <c r="F182" s="370">
        <v>0</v>
      </c>
      <c r="G182" s="357" t="e">
        <f t="shared" si="6"/>
        <v>#DIV/0!</v>
      </c>
      <c r="H182" s="358">
        <f t="shared" si="7"/>
        <v>0</v>
      </c>
    </row>
    <row r="183" spans="2:8" ht="15">
      <c r="B183" s="420"/>
      <c r="C183" s="382"/>
      <c r="D183" s="365" t="s">
        <v>957</v>
      </c>
      <c r="E183" s="366">
        <f>+E184</f>
        <v>0</v>
      </c>
      <c r="F183" s="367">
        <f>+F184</f>
        <v>0</v>
      </c>
      <c r="G183" s="357" t="e">
        <f t="shared" si="6"/>
        <v>#DIV/0!</v>
      </c>
      <c r="H183" s="358">
        <f t="shared" si="7"/>
        <v>0</v>
      </c>
    </row>
    <row r="184" spans="2:8" ht="15">
      <c r="B184" s="421"/>
      <c r="C184" s="422"/>
      <c r="D184" s="392" t="s">
        <v>958</v>
      </c>
      <c r="E184" s="370">
        <v>0</v>
      </c>
      <c r="F184" s="370">
        <v>0</v>
      </c>
      <c r="G184" s="357" t="e">
        <f t="shared" si="6"/>
        <v>#DIV/0!</v>
      </c>
      <c r="H184" s="358">
        <f t="shared" si="7"/>
        <v>0</v>
      </c>
    </row>
    <row r="185" spans="2:8" ht="15">
      <c r="B185" s="420"/>
      <c r="C185" s="382"/>
      <c r="D185" s="365" t="s">
        <v>959</v>
      </c>
      <c r="E185" s="366">
        <f>+E186</f>
        <v>0</v>
      </c>
      <c r="F185" s="367">
        <f>+F186</f>
        <v>0</v>
      </c>
      <c r="G185" s="357" t="e">
        <f t="shared" si="6"/>
        <v>#DIV/0!</v>
      </c>
      <c r="H185" s="358">
        <f t="shared" si="7"/>
        <v>0</v>
      </c>
    </row>
    <row r="186" spans="2:8" ht="15">
      <c r="B186" s="421"/>
      <c r="C186" s="422"/>
      <c r="D186" s="392" t="s">
        <v>959</v>
      </c>
      <c r="E186" s="370">
        <v>0</v>
      </c>
      <c r="F186" s="370">
        <v>0</v>
      </c>
      <c r="G186" s="357" t="e">
        <f t="shared" si="6"/>
        <v>#DIV/0!</v>
      </c>
      <c r="H186" s="358">
        <f t="shared" si="7"/>
        <v>0</v>
      </c>
    </row>
    <row r="187" spans="2:8" ht="15">
      <c r="B187" s="421"/>
      <c r="C187" s="382"/>
      <c r="D187" s="365" t="s">
        <v>277</v>
      </c>
      <c r="E187" s="366">
        <f>+E188+E189+E190+E191+E192+E193+E194+E195+E196+E197+E198+E199</f>
        <v>0</v>
      </c>
      <c r="F187" s="367">
        <f>+F188+F189+F190+F191+F192+F193+F194+F195+F196+F197+F198+F199</f>
        <v>0</v>
      </c>
      <c r="G187" s="357" t="e">
        <f t="shared" si="6"/>
        <v>#DIV/0!</v>
      </c>
      <c r="H187" s="358">
        <f t="shared" si="7"/>
        <v>0</v>
      </c>
    </row>
    <row r="188" spans="2:8" ht="15">
      <c r="B188" s="421"/>
      <c r="C188" s="422"/>
      <c r="D188" s="392" t="s">
        <v>960</v>
      </c>
      <c r="E188" s="370">
        <v>0</v>
      </c>
      <c r="F188" s="370">
        <v>0</v>
      </c>
      <c r="G188" s="357" t="e">
        <f t="shared" si="6"/>
        <v>#DIV/0!</v>
      </c>
      <c r="H188" s="358">
        <f t="shared" si="7"/>
        <v>0</v>
      </c>
    </row>
    <row r="189" spans="2:8" ht="15">
      <c r="B189" s="421"/>
      <c r="C189" s="422"/>
      <c r="D189" s="392" t="s">
        <v>961</v>
      </c>
      <c r="E189" s="370">
        <v>0</v>
      </c>
      <c r="F189" s="370">
        <v>0</v>
      </c>
      <c r="G189" s="357" t="e">
        <f t="shared" si="6"/>
        <v>#DIV/0!</v>
      </c>
      <c r="H189" s="358">
        <f t="shared" si="7"/>
        <v>0</v>
      </c>
    </row>
    <row r="190" spans="2:8" ht="15">
      <c r="B190" s="421"/>
      <c r="C190" s="422"/>
      <c r="D190" s="392" t="s">
        <v>962</v>
      </c>
      <c r="E190" s="370">
        <v>0</v>
      </c>
      <c r="F190" s="370">
        <v>0</v>
      </c>
      <c r="G190" s="357" t="e">
        <f t="shared" si="6"/>
        <v>#DIV/0!</v>
      </c>
      <c r="H190" s="358">
        <f t="shared" si="7"/>
        <v>0</v>
      </c>
    </row>
    <row r="191" spans="2:8" ht="15">
      <c r="B191" s="421"/>
      <c r="C191" s="422"/>
      <c r="D191" s="392" t="s">
        <v>963</v>
      </c>
      <c r="E191" s="370">
        <v>0</v>
      </c>
      <c r="F191" s="370">
        <v>0</v>
      </c>
      <c r="G191" s="357" t="e">
        <f t="shared" si="6"/>
        <v>#DIV/0!</v>
      </c>
      <c r="H191" s="358">
        <f t="shared" si="7"/>
        <v>0</v>
      </c>
    </row>
    <row r="192" spans="2:8" ht="15">
      <c r="B192" s="421"/>
      <c r="C192" s="422"/>
      <c r="D192" s="392" t="s">
        <v>964</v>
      </c>
      <c r="E192" s="370">
        <v>0</v>
      </c>
      <c r="F192" s="370">
        <v>0</v>
      </c>
      <c r="G192" s="357" t="e">
        <f t="shared" si="6"/>
        <v>#DIV/0!</v>
      </c>
      <c r="H192" s="358">
        <f t="shared" si="7"/>
        <v>0</v>
      </c>
    </row>
    <row r="193" spans="2:8" ht="15">
      <c r="B193" s="421"/>
      <c r="C193" s="422"/>
      <c r="D193" s="392" t="s">
        <v>965</v>
      </c>
      <c r="E193" s="370">
        <v>0</v>
      </c>
      <c r="F193" s="370">
        <v>0</v>
      </c>
      <c r="G193" s="357" t="e">
        <f t="shared" si="6"/>
        <v>#DIV/0!</v>
      </c>
      <c r="H193" s="358">
        <f t="shared" si="7"/>
        <v>0</v>
      </c>
    </row>
    <row r="194" spans="2:8" ht="15">
      <c r="B194" s="421"/>
      <c r="C194" s="422"/>
      <c r="D194" s="392" t="s">
        <v>966</v>
      </c>
      <c r="E194" s="370">
        <v>0</v>
      </c>
      <c r="F194" s="370">
        <v>0</v>
      </c>
      <c r="G194" s="357" t="e">
        <f t="shared" si="6"/>
        <v>#DIV/0!</v>
      </c>
      <c r="H194" s="358">
        <f t="shared" si="7"/>
        <v>0</v>
      </c>
    </row>
    <row r="195" spans="2:8" ht="15">
      <c r="B195" s="421"/>
      <c r="C195" s="422"/>
      <c r="D195" s="392" t="s">
        <v>967</v>
      </c>
      <c r="E195" s="370">
        <v>0</v>
      </c>
      <c r="F195" s="370">
        <v>0</v>
      </c>
      <c r="G195" s="357" t="e">
        <f t="shared" si="6"/>
        <v>#DIV/0!</v>
      </c>
      <c r="H195" s="358">
        <f t="shared" si="7"/>
        <v>0</v>
      </c>
    </row>
    <row r="196" spans="2:8" ht="15">
      <c r="B196" s="421"/>
      <c r="C196" s="422"/>
      <c r="D196" s="392" t="s">
        <v>968</v>
      </c>
      <c r="E196" s="370">
        <v>0</v>
      </c>
      <c r="F196" s="370">
        <v>0</v>
      </c>
      <c r="G196" s="357" t="e">
        <f t="shared" si="6"/>
        <v>#DIV/0!</v>
      </c>
      <c r="H196" s="358">
        <f t="shared" si="7"/>
        <v>0</v>
      </c>
    </row>
    <row r="197" spans="2:8" ht="15">
      <c r="B197" s="421"/>
      <c r="C197" s="422"/>
      <c r="D197" s="392" t="s">
        <v>969</v>
      </c>
      <c r="E197" s="370">
        <v>0</v>
      </c>
      <c r="F197" s="370">
        <v>0</v>
      </c>
      <c r="G197" s="357" t="e">
        <f t="shared" si="6"/>
        <v>#DIV/0!</v>
      </c>
      <c r="H197" s="358">
        <f t="shared" si="7"/>
        <v>0</v>
      </c>
    </row>
    <row r="198" spans="2:8" ht="15">
      <c r="B198" s="421"/>
      <c r="C198" s="422"/>
      <c r="D198" s="392" t="s">
        <v>970</v>
      </c>
      <c r="E198" s="370">
        <v>0</v>
      </c>
      <c r="F198" s="370">
        <v>0</v>
      </c>
      <c r="G198" s="357" t="e">
        <f t="shared" si="6"/>
        <v>#DIV/0!</v>
      </c>
      <c r="H198" s="358">
        <f t="shared" si="7"/>
        <v>0</v>
      </c>
    </row>
    <row r="199" spans="2:8" ht="15">
      <c r="B199" s="421"/>
      <c r="C199" s="422"/>
      <c r="D199" s="392" t="s">
        <v>971</v>
      </c>
      <c r="E199" s="370">
        <v>0</v>
      </c>
      <c r="F199" s="370">
        <v>0</v>
      </c>
      <c r="G199" s="357" t="e">
        <f t="shared" si="6"/>
        <v>#DIV/0!</v>
      </c>
      <c r="H199" s="358">
        <f t="shared" si="7"/>
        <v>0</v>
      </c>
    </row>
    <row r="200" spans="2:8" ht="15">
      <c r="B200" s="421"/>
      <c r="C200" s="382"/>
      <c r="D200" s="365" t="s">
        <v>278</v>
      </c>
      <c r="E200" s="366">
        <f>+E201+E202+E203+E204+E205+E206</f>
        <v>0</v>
      </c>
      <c r="F200" s="367">
        <f>+F201+F202+F203+F204+F205+F206</f>
        <v>0</v>
      </c>
      <c r="G200" s="357" t="e">
        <f t="shared" si="6"/>
        <v>#DIV/0!</v>
      </c>
      <c r="H200" s="358">
        <f t="shared" si="7"/>
        <v>0</v>
      </c>
    </row>
    <row r="201" spans="2:8" ht="15">
      <c r="B201" s="421"/>
      <c r="C201" s="422"/>
      <c r="D201" s="392" t="s">
        <v>971</v>
      </c>
      <c r="E201" s="370">
        <v>0</v>
      </c>
      <c r="F201" s="370">
        <v>0</v>
      </c>
      <c r="G201" s="357" t="e">
        <f t="shared" si="6"/>
        <v>#DIV/0!</v>
      </c>
      <c r="H201" s="358">
        <f t="shared" si="7"/>
        <v>0</v>
      </c>
    </row>
    <row r="202" spans="2:8" ht="15">
      <c r="B202" s="421"/>
      <c r="C202" s="422"/>
      <c r="D202" s="392" t="s">
        <v>972</v>
      </c>
      <c r="E202" s="370">
        <v>0</v>
      </c>
      <c r="F202" s="370">
        <v>0</v>
      </c>
      <c r="G202" s="357" t="e">
        <f t="shared" si="6"/>
        <v>#DIV/0!</v>
      </c>
      <c r="H202" s="358">
        <f t="shared" si="7"/>
        <v>0</v>
      </c>
    </row>
    <row r="203" spans="2:8" ht="15">
      <c r="B203" s="421"/>
      <c r="C203" s="422"/>
      <c r="D203" s="392" t="s">
        <v>973</v>
      </c>
      <c r="E203" s="370">
        <v>0</v>
      </c>
      <c r="F203" s="370">
        <v>0</v>
      </c>
      <c r="G203" s="357" t="e">
        <f t="shared" si="6"/>
        <v>#DIV/0!</v>
      </c>
      <c r="H203" s="358">
        <f t="shared" si="7"/>
        <v>0</v>
      </c>
    </row>
    <row r="204" spans="2:8" ht="15">
      <c r="B204" s="421"/>
      <c r="C204" s="422"/>
      <c r="D204" s="392" t="s">
        <v>974</v>
      </c>
      <c r="E204" s="370">
        <v>0</v>
      </c>
      <c r="F204" s="370">
        <v>0</v>
      </c>
      <c r="G204" s="357" t="e">
        <f t="shared" si="6"/>
        <v>#DIV/0!</v>
      </c>
      <c r="H204" s="358">
        <f t="shared" si="7"/>
        <v>0</v>
      </c>
    </row>
    <row r="205" spans="2:8" ht="15">
      <c r="B205" s="421"/>
      <c r="C205" s="422"/>
      <c r="D205" s="392" t="s">
        <v>975</v>
      </c>
      <c r="E205" s="370">
        <v>0</v>
      </c>
      <c r="F205" s="370">
        <v>0</v>
      </c>
      <c r="G205" s="357" t="e">
        <f t="shared" si="6"/>
        <v>#DIV/0!</v>
      </c>
      <c r="H205" s="358">
        <f t="shared" si="7"/>
        <v>0</v>
      </c>
    </row>
    <row r="206" spans="2:8" ht="15">
      <c r="B206" s="421"/>
      <c r="C206" s="422"/>
      <c r="D206" s="392" t="s">
        <v>976</v>
      </c>
      <c r="E206" s="370">
        <v>0</v>
      </c>
      <c r="F206" s="370">
        <v>0</v>
      </c>
      <c r="G206" s="357" t="e">
        <f t="shared" si="6"/>
        <v>#DIV/0!</v>
      </c>
      <c r="H206" s="358">
        <f t="shared" si="7"/>
        <v>0</v>
      </c>
    </row>
    <row r="207" spans="2:8" ht="15">
      <c r="B207" s="421"/>
      <c r="C207" s="382"/>
      <c r="D207" s="365" t="s">
        <v>261</v>
      </c>
      <c r="E207" s="366">
        <f>+E208+E209</f>
        <v>0</v>
      </c>
      <c r="F207" s="367">
        <f>+F208+F209</f>
        <v>0</v>
      </c>
      <c r="G207" s="357" t="e">
        <f t="shared" si="6"/>
        <v>#DIV/0!</v>
      </c>
      <c r="H207" s="358">
        <f t="shared" si="7"/>
        <v>0</v>
      </c>
    </row>
    <row r="208" spans="2:8" ht="15">
      <c r="B208" s="421"/>
      <c r="C208" s="422"/>
      <c r="D208" s="392" t="s">
        <v>977</v>
      </c>
      <c r="E208" s="370">
        <v>0</v>
      </c>
      <c r="F208" s="370">
        <v>0</v>
      </c>
      <c r="G208" s="357" t="e">
        <f t="shared" si="6"/>
        <v>#DIV/0!</v>
      </c>
      <c r="H208" s="358">
        <f t="shared" si="7"/>
        <v>0</v>
      </c>
    </row>
    <row r="209" spans="2:8" ht="15">
      <c r="B209" s="421"/>
      <c r="C209" s="422"/>
      <c r="D209" s="392" t="s">
        <v>978</v>
      </c>
      <c r="E209" s="370">
        <v>0</v>
      </c>
      <c r="F209" s="370">
        <v>0</v>
      </c>
      <c r="G209" s="357" t="e">
        <f t="shared" si="6"/>
        <v>#DIV/0!</v>
      </c>
      <c r="H209" s="358">
        <f t="shared" si="7"/>
        <v>0</v>
      </c>
    </row>
    <row r="210" spans="2:8" ht="15">
      <c r="B210" s="421"/>
      <c r="C210" s="382"/>
      <c r="D210" s="365" t="s">
        <v>979</v>
      </c>
      <c r="E210" s="366">
        <f>+E211+E212</f>
        <v>0</v>
      </c>
      <c r="F210" s="367">
        <f>+F211+F212</f>
        <v>0</v>
      </c>
      <c r="G210" s="357" t="e">
        <f t="shared" si="6"/>
        <v>#DIV/0!</v>
      </c>
      <c r="H210" s="358">
        <f t="shared" si="7"/>
        <v>0</v>
      </c>
    </row>
    <row r="211" spans="2:8" ht="15">
      <c r="B211" s="421"/>
      <c r="C211" s="422"/>
      <c r="D211" s="392" t="s">
        <v>980</v>
      </c>
      <c r="E211" s="370">
        <v>0</v>
      </c>
      <c r="F211" s="370">
        <v>0</v>
      </c>
      <c r="G211" s="357" t="e">
        <f t="shared" si="6"/>
        <v>#DIV/0!</v>
      </c>
      <c r="H211" s="358">
        <f t="shared" si="7"/>
        <v>0</v>
      </c>
    </row>
    <row r="212" spans="2:8" ht="15">
      <c r="B212" s="421"/>
      <c r="C212" s="422"/>
      <c r="D212" s="392" t="s">
        <v>981</v>
      </c>
      <c r="E212" s="370">
        <v>0</v>
      </c>
      <c r="F212" s="370">
        <v>0</v>
      </c>
      <c r="G212" s="357" t="e">
        <f t="shared" si="6"/>
        <v>#DIV/0!</v>
      </c>
      <c r="H212" s="358">
        <f t="shared" si="7"/>
        <v>0</v>
      </c>
    </row>
    <row r="213" spans="2:8" ht="15">
      <c r="B213" s="421"/>
      <c r="C213" s="382"/>
      <c r="D213" s="365" t="s">
        <v>982</v>
      </c>
      <c r="E213" s="366">
        <f>+E214+E215</f>
        <v>0</v>
      </c>
      <c r="F213" s="367">
        <f>+F214+F215</f>
        <v>0</v>
      </c>
      <c r="G213" s="357" t="e">
        <f t="shared" si="6"/>
        <v>#DIV/0!</v>
      </c>
      <c r="H213" s="358">
        <f t="shared" si="7"/>
        <v>0</v>
      </c>
    </row>
    <row r="214" spans="2:8" ht="15">
      <c r="B214" s="421"/>
      <c r="C214" s="422"/>
      <c r="D214" s="392" t="s">
        <v>983</v>
      </c>
      <c r="E214" s="370">
        <v>0</v>
      </c>
      <c r="F214" s="370">
        <v>0</v>
      </c>
      <c r="G214" s="357" t="e">
        <f t="shared" si="6"/>
        <v>#DIV/0!</v>
      </c>
      <c r="H214" s="358">
        <f t="shared" si="7"/>
        <v>0</v>
      </c>
    </row>
    <row r="215" spans="2:8" ht="15">
      <c r="B215" s="421"/>
      <c r="C215" s="422"/>
      <c r="D215" s="392" t="s">
        <v>984</v>
      </c>
      <c r="E215" s="370">
        <v>0</v>
      </c>
      <c r="F215" s="370">
        <v>0</v>
      </c>
      <c r="G215" s="357" t="e">
        <f t="shared" si="6"/>
        <v>#DIV/0!</v>
      </c>
      <c r="H215" s="358">
        <f t="shared" si="7"/>
        <v>0</v>
      </c>
    </row>
    <row r="216" spans="2:8" ht="15">
      <c r="B216" s="421"/>
      <c r="C216" s="382"/>
      <c r="D216" s="365" t="s">
        <v>985</v>
      </c>
      <c r="E216" s="366">
        <f>+E217+E218+E219+E220</f>
        <v>0</v>
      </c>
      <c r="F216" s="367">
        <f>+F217+F218+F219+F220</f>
        <v>0</v>
      </c>
      <c r="G216" s="357" t="e">
        <f t="shared" si="6"/>
        <v>#DIV/0!</v>
      </c>
      <c r="H216" s="358">
        <f t="shared" si="7"/>
        <v>0</v>
      </c>
    </row>
    <row r="217" spans="2:8" ht="15">
      <c r="B217" s="421"/>
      <c r="C217" s="422"/>
      <c r="D217" s="392" t="s">
        <v>986</v>
      </c>
      <c r="E217" s="370">
        <v>0</v>
      </c>
      <c r="F217" s="370">
        <v>0</v>
      </c>
      <c r="G217" s="357" t="e">
        <f t="shared" si="6"/>
        <v>#DIV/0!</v>
      </c>
      <c r="H217" s="358">
        <f t="shared" si="7"/>
        <v>0</v>
      </c>
    </row>
    <row r="218" spans="2:8" ht="15">
      <c r="B218" s="421"/>
      <c r="C218" s="422"/>
      <c r="D218" s="392" t="s">
        <v>987</v>
      </c>
      <c r="E218" s="370">
        <v>0</v>
      </c>
      <c r="F218" s="370">
        <v>0</v>
      </c>
      <c r="G218" s="357" t="e">
        <f aca="true" t="shared" si="8" ref="G218:G283">(E218-F218)/F218*100</f>
        <v>#DIV/0!</v>
      </c>
      <c r="H218" s="358">
        <f aca="true" t="shared" si="9" ref="H218:H283">E218-F218</f>
        <v>0</v>
      </c>
    </row>
    <row r="219" spans="2:8" ht="15">
      <c r="B219" s="421"/>
      <c r="C219" s="422"/>
      <c r="D219" s="392" t="s">
        <v>988</v>
      </c>
      <c r="E219" s="370">
        <v>0</v>
      </c>
      <c r="F219" s="370">
        <v>0</v>
      </c>
      <c r="G219" s="357" t="e">
        <f t="shared" si="8"/>
        <v>#DIV/0!</v>
      </c>
      <c r="H219" s="358">
        <f t="shared" si="9"/>
        <v>0</v>
      </c>
    </row>
    <row r="220" spans="2:8" ht="15">
      <c r="B220" s="421"/>
      <c r="C220" s="422"/>
      <c r="D220" s="392" t="s">
        <v>989</v>
      </c>
      <c r="E220" s="370">
        <v>0</v>
      </c>
      <c r="F220" s="370">
        <v>0</v>
      </c>
      <c r="G220" s="357" t="e">
        <f t="shared" si="8"/>
        <v>#DIV/0!</v>
      </c>
      <c r="H220" s="358">
        <f t="shared" si="9"/>
        <v>0</v>
      </c>
    </row>
    <row r="221" spans="2:8" ht="15">
      <c r="B221" s="352"/>
      <c r="C221" s="423">
        <v>2</v>
      </c>
      <c r="D221" s="424" t="s">
        <v>96</v>
      </c>
      <c r="E221" s="425">
        <f>+E222+E233+E237</f>
        <v>31037425</v>
      </c>
      <c r="F221" s="426">
        <f>+F222+F233+F237</f>
        <v>0</v>
      </c>
      <c r="G221" s="427" t="e">
        <f t="shared" si="8"/>
        <v>#DIV/0!</v>
      </c>
      <c r="H221" s="358">
        <f t="shared" si="9"/>
        <v>31037425</v>
      </c>
    </row>
    <row r="222" spans="2:8" ht="15">
      <c r="B222" s="421"/>
      <c r="C222" s="382"/>
      <c r="D222" s="365" t="s">
        <v>265</v>
      </c>
      <c r="E222" s="366">
        <f>+E223+E224+E225+E226+E227+E228+E229+E230+E231+E232</f>
        <v>31037425</v>
      </c>
      <c r="F222" s="367">
        <f>+F223+F224+F225+F226+F227+F228+F229+F230+F231+F232</f>
        <v>0</v>
      </c>
      <c r="G222" s="357" t="e">
        <f t="shared" si="8"/>
        <v>#DIV/0!</v>
      </c>
      <c r="H222" s="358">
        <f t="shared" si="9"/>
        <v>31037425</v>
      </c>
    </row>
    <row r="223" spans="2:8" ht="15">
      <c r="B223" s="421"/>
      <c r="C223" s="422"/>
      <c r="D223" s="392" t="s">
        <v>990</v>
      </c>
      <c r="E223" s="370">
        <v>31037425</v>
      </c>
      <c r="F223" s="370">
        <v>0</v>
      </c>
      <c r="G223" s="357" t="e">
        <f t="shared" si="8"/>
        <v>#DIV/0!</v>
      </c>
      <c r="H223" s="358">
        <f t="shared" si="9"/>
        <v>31037425</v>
      </c>
    </row>
    <row r="224" spans="2:8" ht="15">
      <c r="B224" s="421"/>
      <c r="C224" s="422"/>
      <c r="D224" s="392" t="s">
        <v>991</v>
      </c>
      <c r="E224" s="370">
        <v>0</v>
      </c>
      <c r="F224" s="370">
        <v>0</v>
      </c>
      <c r="G224" s="357" t="e">
        <f t="shared" si="8"/>
        <v>#DIV/0!</v>
      </c>
      <c r="H224" s="358">
        <f t="shared" si="9"/>
        <v>0</v>
      </c>
    </row>
    <row r="225" spans="2:8" ht="15">
      <c r="B225" s="421"/>
      <c r="C225" s="422"/>
      <c r="D225" s="392" t="s">
        <v>992</v>
      </c>
      <c r="E225" s="370">
        <v>0</v>
      </c>
      <c r="F225" s="370">
        <v>0</v>
      </c>
      <c r="G225" s="357" t="e">
        <f t="shared" si="8"/>
        <v>#DIV/0!</v>
      </c>
      <c r="H225" s="358">
        <f t="shared" si="9"/>
        <v>0</v>
      </c>
    </row>
    <row r="226" spans="2:8" ht="15">
      <c r="B226" s="421"/>
      <c r="C226" s="422"/>
      <c r="D226" s="392" t="s">
        <v>993</v>
      </c>
      <c r="E226" s="370">
        <v>0</v>
      </c>
      <c r="F226" s="370">
        <v>0</v>
      </c>
      <c r="G226" s="357" t="e">
        <f t="shared" si="8"/>
        <v>#DIV/0!</v>
      </c>
      <c r="H226" s="358">
        <f t="shared" si="9"/>
        <v>0</v>
      </c>
    </row>
    <row r="227" spans="2:8" ht="15">
      <c r="B227" s="421"/>
      <c r="C227" s="422"/>
      <c r="D227" s="392" t="s">
        <v>994</v>
      </c>
      <c r="E227" s="370">
        <v>0</v>
      </c>
      <c r="F227" s="370">
        <v>0</v>
      </c>
      <c r="G227" s="357" t="e">
        <f t="shared" si="8"/>
        <v>#DIV/0!</v>
      </c>
      <c r="H227" s="358">
        <f t="shared" si="9"/>
        <v>0</v>
      </c>
    </row>
    <row r="228" spans="2:8" ht="15">
      <c r="B228" s="421"/>
      <c r="C228" s="422"/>
      <c r="D228" s="392" t="s">
        <v>995</v>
      </c>
      <c r="E228" s="370">
        <v>0</v>
      </c>
      <c r="F228" s="370">
        <v>0</v>
      </c>
      <c r="G228" s="357" t="e">
        <f t="shared" si="8"/>
        <v>#DIV/0!</v>
      </c>
      <c r="H228" s="358">
        <f t="shared" si="9"/>
        <v>0</v>
      </c>
    </row>
    <row r="229" spans="2:8" ht="15">
      <c r="B229" s="421"/>
      <c r="C229" s="422"/>
      <c r="D229" s="392" t="s">
        <v>996</v>
      </c>
      <c r="E229" s="370">
        <v>0</v>
      </c>
      <c r="F229" s="370">
        <v>0</v>
      </c>
      <c r="G229" s="357" t="e">
        <f t="shared" si="8"/>
        <v>#DIV/0!</v>
      </c>
      <c r="H229" s="358">
        <f t="shared" si="9"/>
        <v>0</v>
      </c>
    </row>
    <row r="230" spans="2:8" ht="15">
      <c r="B230" s="421"/>
      <c r="C230" s="422"/>
      <c r="D230" s="392" t="s">
        <v>997</v>
      </c>
      <c r="E230" s="370">
        <v>0</v>
      </c>
      <c r="F230" s="370">
        <v>0</v>
      </c>
      <c r="G230" s="357" t="e">
        <f t="shared" si="8"/>
        <v>#DIV/0!</v>
      </c>
      <c r="H230" s="358">
        <f t="shared" si="9"/>
        <v>0</v>
      </c>
    </row>
    <row r="231" spans="2:8" ht="15">
      <c r="B231" s="421"/>
      <c r="C231" s="422"/>
      <c r="D231" s="392" t="s">
        <v>998</v>
      </c>
      <c r="E231" s="370">
        <v>0</v>
      </c>
      <c r="F231" s="370">
        <v>0</v>
      </c>
      <c r="G231" s="357" t="e">
        <f t="shared" si="8"/>
        <v>#DIV/0!</v>
      </c>
      <c r="H231" s="358">
        <f t="shared" si="9"/>
        <v>0</v>
      </c>
    </row>
    <row r="232" spans="2:8" ht="15">
      <c r="B232" s="421"/>
      <c r="C232" s="422"/>
      <c r="D232" s="392" t="s">
        <v>999</v>
      </c>
      <c r="E232" s="370">
        <v>0</v>
      </c>
      <c r="F232" s="370">
        <v>0</v>
      </c>
      <c r="G232" s="357" t="e">
        <f t="shared" si="8"/>
        <v>#DIV/0!</v>
      </c>
      <c r="H232" s="358">
        <f t="shared" si="9"/>
        <v>0</v>
      </c>
    </row>
    <row r="233" spans="2:8" ht="15">
      <c r="B233" s="421"/>
      <c r="C233" s="382"/>
      <c r="D233" s="365" t="s">
        <v>1642</v>
      </c>
      <c r="E233" s="366">
        <f>SUM(E234:E236)</f>
        <v>0</v>
      </c>
      <c r="F233" s="366">
        <f>SUM(F234:F236)</f>
        <v>0</v>
      </c>
      <c r="G233" s="366" t="e">
        <f>SUM(G234:G236)</f>
        <v>#DIV/0!</v>
      </c>
      <c r="H233" s="366">
        <f>SUM(H234:H236)</f>
        <v>0</v>
      </c>
    </row>
    <row r="234" spans="2:8" ht="15">
      <c r="B234" s="421"/>
      <c r="C234" s="422"/>
      <c r="D234" s="392" t="s">
        <v>1000</v>
      </c>
      <c r="E234" s="370">
        <v>0</v>
      </c>
      <c r="F234" s="370">
        <v>0</v>
      </c>
      <c r="G234" s="357" t="e">
        <f t="shared" si="8"/>
        <v>#DIV/0!</v>
      </c>
      <c r="H234" s="358">
        <f t="shared" si="9"/>
        <v>0</v>
      </c>
    </row>
    <row r="235" spans="2:8" ht="15">
      <c r="B235" s="421"/>
      <c r="C235" s="592"/>
      <c r="D235" s="392" t="s">
        <v>1055</v>
      </c>
      <c r="E235" s="370">
        <v>0</v>
      </c>
      <c r="F235" s="370">
        <v>0</v>
      </c>
      <c r="G235" s="357" t="e">
        <f>(E235-F235)/F235*100</f>
        <v>#DIV/0!</v>
      </c>
      <c r="H235" s="358">
        <f>E235-F235</f>
        <v>0</v>
      </c>
    </row>
    <row r="236" spans="2:8" ht="15">
      <c r="B236" s="421"/>
      <c r="C236" s="592"/>
      <c r="D236" s="392" t="s">
        <v>1056</v>
      </c>
      <c r="E236" s="370">
        <v>0</v>
      </c>
      <c r="F236" s="370">
        <v>0</v>
      </c>
      <c r="G236" s="357" t="e">
        <f>(E236-F236)/F236*100</f>
        <v>#DIV/0!</v>
      </c>
      <c r="H236" s="358">
        <f>E236-F236</f>
        <v>0</v>
      </c>
    </row>
    <row r="237" spans="2:8" ht="15">
      <c r="B237" s="421"/>
      <c r="C237" s="382"/>
      <c r="D237" s="365" t="s">
        <v>262</v>
      </c>
      <c r="E237" s="366">
        <f>+E238+E239+E240+E241+E242+E243+E244+E245+E246+E247+E248+E249+E250+E251+E252+E253</f>
        <v>0</v>
      </c>
      <c r="F237" s="367">
        <f>+F238+F239+F240+F241+F242+F243+F244+F245+F246+F247+F248+F249+F250+F251+F252+F253</f>
        <v>0</v>
      </c>
      <c r="G237" s="367" t="e">
        <f>+G238+G239+G240+G241+G242+G243+G244+G245+G246+G247+G248+G249+G250+G251+G252+G253</f>
        <v>#DIV/0!</v>
      </c>
      <c r="H237" s="367">
        <f>+H238+H239+H240+H241+H242+H243+H244+H245+H246+H247+H248+H249+H250+H251+H252+H253</f>
        <v>0</v>
      </c>
    </row>
    <row r="238" spans="2:8" ht="15">
      <c r="B238" s="421"/>
      <c r="C238" s="422"/>
      <c r="D238" s="392" t="s">
        <v>1001</v>
      </c>
      <c r="E238" s="370">
        <v>0</v>
      </c>
      <c r="F238" s="370">
        <v>0</v>
      </c>
      <c r="G238" s="357" t="e">
        <f t="shared" si="8"/>
        <v>#DIV/0!</v>
      </c>
      <c r="H238" s="358">
        <f t="shared" si="9"/>
        <v>0</v>
      </c>
    </row>
    <row r="239" spans="2:8" ht="15">
      <c r="B239" s="421"/>
      <c r="C239" s="422"/>
      <c r="D239" s="392" t="s">
        <v>1002</v>
      </c>
      <c r="E239" s="370">
        <v>0</v>
      </c>
      <c r="F239" s="370">
        <v>0</v>
      </c>
      <c r="G239" s="357" t="e">
        <f t="shared" si="8"/>
        <v>#DIV/0!</v>
      </c>
      <c r="H239" s="358">
        <f t="shared" si="9"/>
        <v>0</v>
      </c>
    </row>
    <row r="240" spans="2:8" ht="15">
      <c r="B240" s="421"/>
      <c r="C240" s="422"/>
      <c r="D240" s="392" t="s">
        <v>1003</v>
      </c>
      <c r="E240" s="370">
        <v>0</v>
      </c>
      <c r="F240" s="370">
        <v>0</v>
      </c>
      <c r="G240" s="357" t="e">
        <f t="shared" si="8"/>
        <v>#DIV/0!</v>
      </c>
      <c r="H240" s="358">
        <f t="shared" si="9"/>
        <v>0</v>
      </c>
    </row>
    <row r="241" spans="2:8" ht="15">
      <c r="B241" s="421"/>
      <c r="C241" s="422"/>
      <c r="D241" s="392" t="s">
        <v>1004</v>
      </c>
      <c r="E241" s="370">
        <v>0</v>
      </c>
      <c r="F241" s="370">
        <v>0</v>
      </c>
      <c r="G241" s="357" t="e">
        <f t="shared" si="8"/>
        <v>#DIV/0!</v>
      </c>
      <c r="H241" s="358">
        <f t="shared" si="9"/>
        <v>0</v>
      </c>
    </row>
    <row r="242" spans="2:8" ht="15">
      <c r="B242" s="421"/>
      <c r="C242" s="422"/>
      <c r="D242" s="392" t="s">
        <v>1005</v>
      </c>
      <c r="E242" s="370">
        <v>0</v>
      </c>
      <c r="F242" s="370">
        <v>0</v>
      </c>
      <c r="G242" s="357" t="e">
        <f t="shared" si="8"/>
        <v>#DIV/0!</v>
      </c>
      <c r="H242" s="358">
        <f t="shared" si="9"/>
        <v>0</v>
      </c>
    </row>
    <row r="243" spans="2:8" ht="15">
      <c r="B243" s="421"/>
      <c r="C243" s="422"/>
      <c r="D243" s="392" t="s">
        <v>1006</v>
      </c>
      <c r="E243" s="370">
        <v>0</v>
      </c>
      <c r="F243" s="370">
        <v>0</v>
      </c>
      <c r="G243" s="357" t="e">
        <f t="shared" si="8"/>
        <v>#DIV/0!</v>
      </c>
      <c r="H243" s="358">
        <f t="shared" si="9"/>
        <v>0</v>
      </c>
    </row>
    <row r="244" spans="2:8" ht="15">
      <c r="B244" s="421"/>
      <c r="C244" s="422"/>
      <c r="D244" s="392" t="s">
        <v>1007</v>
      </c>
      <c r="E244" s="370">
        <v>0</v>
      </c>
      <c r="F244" s="370">
        <v>0</v>
      </c>
      <c r="G244" s="357" t="e">
        <f t="shared" si="8"/>
        <v>#DIV/0!</v>
      </c>
      <c r="H244" s="358">
        <f t="shared" si="9"/>
        <v>0</v>
      </c>
    </row>
    <row r="245" spans="2:8" ht="15">
      <c r="B245" s="421"/>
      <c r="C245" s="422"/>
      <c r="D245" s="392" t="s">
        <v>1008</v>
      </c>
      <c r="E245" s="370">
        <v>0</v>
      </c>
      <c r="F245" s="370">
        <v>0</v>
      </c>
      <c r="G245" s="357" t="e">
        <f t="shared" si="8"/>
        <v>#DIV/0!</v>
      </c>
      <c r="H245" s="358">
        <f t="shared" si="9"/>
        <v>0</v>
      </c>
    </row>
    <row r="246" spans="2:8" ht="15">
      <c r="B246" s="421"/>
      <c r="C246" s="422"/>
      <c r="D246" s="392" t="s">
        <v>1009</v>
      </c>
      <c r="E246" s="370">
        <v>0</v>
      </c>
      <c r="F246" s="370">
        <v>0</v>
      </c>
      <c r="G246" s="357" t="e">
        <f t="shared" si="8"/>
        <v>#DIV/0!</v>
      </c>
      <c r="H246" s="358">
        <f t="shared" si="9"/>
        <v>0</v>
      </c>
    </row>
    <row r="247" spans="2:8" ht="15">
      <c r="B247" s="421"/>
      <c r="C247" s="422"/>
      <c r="D247" s="392" t="s">
        <v>1010</v>
      </c>
      <c r="E247" s="370">
        <v>0</v>
      </c>
      <c r="F247" s="370">
        <v>0</v>
      </c>
      <c r="G247" s="357" t="e">
        <f t="shared" si="8"/>
        <v>#DIV/0!</v>
      </c>
      <c r="H247" s="358">
        <f t="shared" si="9"/>
        <v>0</v>
      </c>
    </row>
    <row r="248" spans="2:8" ht="15">
      <c r="B248" s="421"/>
      <c r="C248" s="422"/>
      <c r="D248" s="392" t="s">
        <v>1011</v>
      </c>
      <c r="E248" s="370">
        <v>0</v>
      </c>
      <c r="F248" s="370">
        <v>0</v>
      </c>
      <c r="G248" s="357" t="e">
        <f t="shared" si="8"/>
        <v>#DIV/0!</v>
      </c>
      <c r="H248" s="358">
        <f t="shared" si="9"/>
        <v>0</v>
      </c>
    </row>
    <row r="249" spans="2:8" ht="15">
      <c r="B249" s="421"/>
      <c r="C249" s="422"/>
      <c r="D249" s="392" t="s">
        <v>1012</v>
      </c>
      <c r="E249" s="370">
        <v>0</v>
      </c>
      <c r="F249" s="370">
        <v>0</v>
      </c>
      <c r="G249" s="357" t="e">
        <f t="shared" si="8"/>
        <v>#DIV/0!</v>
      </c>
      <c r="H249" s="358">
        <f t="shared" si="9"/>
        <v>0</v>
      </c>
    </row>
    <row r="250" spans="2:8" ht="15">
      <c r="B250" s="421"/>
      <c r="C250" s="422"/>
      <c r="D250" s="392" t="s">
        <v>1013</v>
      </c>
      <c r="E250" s="370">
        <v>0</v>
      </c>
      <c r="F250" s="370">
        <v>0</v>
      </c>
      <c r="G250" s="357" t="e">
        <f t="shared" si="8"/>
        <v>#DIV/0!</v>
      </c>
      <c r="H250" s="358">
        <f t="shared" si="9"/>
        <v>0</v>
      </c>
    </row>
    <row r="251" spans="2:8" ht="15">
      <c r="B251" s="421"/>
      <c r="C251" s="422"/>
      <c r="D251" s="392" t="s">
        <v>1014</v>
      </c>
      <c r="E251" s="370">
        <v>0</v>
      </c>
      <c r="F251" s="370">
        <v>0</v>
      </c>
      <c r="G251" s="357" t="e">
        <f t="shared" si="8"/>
        <v>#DIV/0!</v>
      </c>
      <c r="H251" s="358">
        <f t="shared" si="9"/>
        <v>0</v>
      </c>
    </row>
    <row r="252" spans="2:8" ht="15">
      <c r="B252" s="421"/>
      <c r="C252" s="422"/>
      <c r="D252" s="392" t="s">
        <v>1015</v>
      </c>
      <c r="E252" s="370">
        <v>0</v>
      </c>
      <c r="F252" s="370">
        <v>0</v>
      </c>
      <c r="G252" s="357" t="e">
        <f t="shared" si="8"/>
        <v>#DIV/0!</v>
      </c>
      <c r="H252" s="358">
        <f t="shared" si="9"/>
        <v>0</v>
      </c>
    </row>
    <row r="253" spans="2:8" ht="15">
      <c r="B253" s="421"/>
      <c r="C253" s="422"/>
      <c r="D253" s="392" t="s">
        <v>1016</v>
      </c>
      <c r="E253" s="370">
        <v>0</v>
      </c>
      <c r="F253" s="370">
        <v>0</v>
      </c>
      <c r="G253" s="357" t="e">
        <f t="shared" si="8"/>
        <v>#DIV/0!</v>
      </c>
      <c r="H253" s="358">
        <f t="shared" si="9"/>
        <v>0</v>
      </c>
    </row>
    <row r="254" spans="2:8" ht="15">
      <c r="B254" s="352"/>
      <c r="C254" s="423">
        <v>3</v>
      </c>
      <c r="D254" s="424" t="s">
        <v>52</v>
      </c>
      <c r="E254" s="425">
        <f>+E255+E294+E297+E303+E306+E309+E321+E328+E335+E337+E345+E347+E350+E354+E359+E352</f>
        <v>255431634</v>
      </c>
      <c r="F254" s="600">
        <f>+F255+F294+F297+F303+F306+F309+F321+F328+F335+F337+F345+F347+F350+F354+F359+F352</f>
        <v>0</v>
      </c>
      <c r="G254" s="596" t="e">
        <f t="shared" si="8"/>
        <v>#DIV/0!</v>
      </c>
      <c r="H254" s="425">
        <f>+H255+H294+H297+H303+H306+H309+H321+H328+H335+H337+H345+H347+H350+H354+H359</f>
        <v>255431634</v>
      </c>
    </row>
    <row r="255" spans="2:8" ht="15">
      <c r="B255" s="385"/>
      <c r="C255" s="382"/>
      <c r="D255" s="365" t="s">
        <v>263</v>
      </c>
      <c r="E255" s="366">
        <f>+E256+E257+E258+E259+E260+E261+E262+E263+E264+E265+E266+E267+E268+E269+E270+E271+E272+E273+E274+E275+E276+E277+E278+E279+E280+E281+E282+E283+E284+E285+E286+E287+E288+E289+E290+E291+E292+E293</f>
        <v>255431634</v>
      </c>
      <c r="F255" s="367">
        <f>+F256+F257+F258+F259+F260+F261+F262+F263+F264+F265+F266+F267+F268+F269+F270+F271+F272+F273+F274+F275+F276+F277+F278+F279+F280+F281+F282+F283+F284+F285+F286+F287+F288+F289+F290+F291+F292+F293</f>
        <v>0</v>
      </c>
      <c r="G255" s="357" t="e">
        <f t="shared" si="8"/>
        <v>#DIV/0!</v>
      </c>
      <c r="H255" s="358">
        <f t="shared" si="9"/>
        <v>255431634</v>
      </c>
    </row>
    <row r="256" spans="2:8" ht="15">
      <c r="B256" s="385"/>
      <c r="C256" s="386"/>
      <c r="D256" s="392" t="s">
        <v>1017</v>
      </c>
      <c r="E256" s="370">
        <v>255431634</v>
      </c>
      <c r="F256" s="370">
        <v>0</v>
      </c>
      <c r="G256" s="357" t="e">
        <f t="shared" si="8"/>
        <v>#DIV/0!</v>
      </c>
      <c r="H256" s="358">
        <f t="shared" si="9"/>
        <v>255431634</v>
      </c>
    </row>
    <row r="257" spans="2:8" ht="15">
      <c r="B257" s="385"/>
      <c r="C257" s="386"/>
      <c r="D257" s="392" t="s">
        <v>1018</v>
      </c>
      <c r="E257" s="370">
        <v>0</v>
      </c>
      <c r="F257" s="370">
        <v>0</v>
      </c>
      <c r="G257" s="357" t="e">
        <f t="shared" si="8"/>
        <v>#DIV/0!</v>
      </c>
      <c r="H257" s="358">
        <f t="shared" si="9"/>
        <v>0</v>
      </c>
    </row>
    <row r="258" spans="2:8" ht="15">
      <c r="B258" s="385"/>
      <c r="C258" s="386"/>
      <c r="D258" s="392" t="s">
        <v>1019</v>
      </c>
      <c r="E258" s="370">
        <v>0</v>
      </c>
      <c r="F258" s="370">
        <v>0</v>
      </c>
      <c r="G258" s="357" t="e">
        <f t="shared" si="8"/>
        <v>#DIV/0!</v>
      </c>
      <c r="H258" s="358">
        <f t="shared" si="9"/>
        <v>0</v>
      </c>
    </row>
    <row r="259" spans="2:8" ht="15">
      <c r="B259" s="385"/>
      <c r="C259" s="386"/>
      <c r="D259" s="392" t="s">
        <v>1020</v>
      </c>
      <c r="E259" s="370">
        <v>0</v>
      </c>
      <c r="F259" s="370">
        <v>0</v>
      </c>
      <c r="G259" s="357" t="e">
        <f t="shared" si="8"/>
        <v>#DIV/0!</v>
      </c>
      <c r="H259" s="358">
        <f t="shared" si="9"/>
        <v>0</v>
      </c>
    </row>
    <row r="260" spans="2:8" ht="15">
      <c r="B260" s="385"/>
      <c r="C260" s="386"/>
      <c r="D260" s="392" t="s">
        <v>1021</v>
      </c>
      <c r="E260" s="370">
        <v>0</v>
      </c>
      <c r="F260" s="370">
        <v>0</v>
      </c>
      <c r="G260" s="357" t="e">
        <f t="shared" si="8"/>
        <v>#DIV/0!</v>
      </c>
      <c r="H260" s="358">
        <f t="shared" si="9"/>
        <v>0</v>
      </c>
    </row>
    <row r="261" spans="2:8" ht="15">
      <c r="B261" s="385"/>
      <c r="C261" s="386"/>
      <c r="D261" s="392" t="s">
        <v>1022</v>
      </c>
      <c r="E261" s="370">
        <v>0</v>
      </c>
      <c r="F261" s="370">
        <v>0</v>
      </c>
      <c r="G261" s="357" t="e">
        <f t="shared" si="8"/>
        <v>#DIV/0!</v>
      </c>
      <c r="H261" s="358">
        <f t="shared" si="9"/>
        <v>0</v>
      </c>
    </row>
    <row r="262" spans="2:8" ht="15">
      <c r="B262" s="385"/>
      <c r="C262" s="386"/>
      <c r="D262" s="392" t="s">
        <v>1023</v>
      </c>
      <c r="E262" s="370">
        <v>0</v>
      </c>
      <c r="F262" s="370">
        <v>0</v>
      </c>
      <c r="G262" s="357" t="e">
        <f t="shared" si="8"/>
        <v>#DIV/0!</v>
      </c>
      <c r="H262" s="358">
        <f t="shared" si="9"/>
        <v>0</v>
      </c>
    </row>
    <row r="263" spans="2:8" ht="15">
      <c r="B263" s="385"/>
      <c r="C263" s="386"/>
      <c r="D263" s="392" t="s">
        <v>1024</v>
      </c>
      <c r="E263" s="370">
        <v>0</v>
      </c>
      <c r="F263" s="370">
        <v>0</v>
      </c>
      <c r="G263" s="357" t="e">
        <f t="shared" si="8"/>
        <v>#DIV/0!</v>
      </c>
      <c r="H263" s="358">
        <f t="shared" si="9"/>
        <v>0</v>
      </c>
    </row>
    <row r="264" spans="2:8" ht="15">
      <c r="B264" s="385"/>
      <c r="C264" s="386"/>
      <c r="D264" s="392" t="s">
        <v>1025</v>
      </c>
      <c r="E264" s="370">
        <v>0</v>
      </c>
      <c r="F264" s="370">
        <v>0</v>
      </c>
      <c r="G264" s="357" t="e">
        <f t="shared" si="8"/>
        <v>#DIV/0!</v>
      </c>
      <c r="H264" s="358">
        <f t="shared" si="9"/>
        <v>0</v>
      </c>
    </row>
    <row r="265" spans="2:8" ht="15">
      <c r="B265" s="385"/>
      <c r="C265" s="386"/>
      <c r="D265" s="392" t="s">
        <v>1026</v>
      </c>
      <c r="E265" s="370">
        <v>0</v>
      </c>
      <c r="F265" s="370">
        <v>0</v>
      </c>
      <c r="G265" s="357" t="e">
        <f t="shared" si="8"/>
        <v>#DIV/0!</v>
      </c>
      <c r="H265" s="358">
        <f t="shared" si="9"/>
        <v>0</v>
      </c>
    </row>
    <row r="266" spans="2:8" ht="15">
      <c r="B266" s="385"/>
      <c r="C266" s="386"/>
      <c r="D266" s="392" t="s">
        <v>1027</v>
      </c>
      <c r="E266" s="370">
        <v>0</v>
      </c>
      <c r="F266" s="370">
        <v>0</v>
      </c>
      <c r="G266" s="357" t="e">
        <f t="shared" si="8"/>
        <v>#DIV/0!</v>
      </c>
      <c r="H266" s="358">
        <f t="shared" si="9"/>
        <v>0</v>
      </c>
    </row>
    <row r="267" spans="2:8" ht="15">
      <c r="B267" s="385"/>
      <c r="C267" s="386"/>
      <c r="D267" s="392" t="s">
        <v>1028</v>
      </c>
      <c r="E267" s="370">
        <v>0</v>
      </c>
      <c r="F267" s="370">
        <v>0</v>
      </c>
      <c r="G267" s="357" t="e">
        <f t="shared" si="8"/>
        <v>#DIV/0!</v>
      </c>
      <c r="H267" s="358">
        <f t="shared" si="9"/>
        <v>0</v>
      </c>
    </row>
    <row r="268" spans="2:8" ht="15">
      <c r="B268" s="385"/>
      <c r="C268" s="386"/>
      <c r="D268" s="392" t="s">
        <v>1029</v>
      </c>
      <c r="E268" s="370">
        <v>0</v>
      </c>
      <c r="F268" s="370">
        <v>0</v>
      </c>
      <c r="G268" s="357" t="e">
        <f t="shared" si="8"/>
        <v>#DIV/0!</v>
      </c>
      <c r="H268" s="358">
        <f t="shared" si="9"/>
        <v>0</v>
      </c>
    </row>
    <row r="269" spans="2:8" ht="15">
      <c r="B269" s="385"/>
      <c r="C269" s="386"/>
      <c r="D269" s="392" t="s">
        <v>1030</v>
      </c>
      <c r="E269" s="370">
        <v>0</v>
      </c>
      <c r="F269" s="370">
        <v>0</v>
      </c>
      <c r="G269" s="357" t="e">
        <f t="shared" si="8"/>
        <v>#DIV/0!</v>
      </c>
      <c r="H269" s="358">
        <f t="shared" si="9"/>
        <v>0</v>
      </c>
    </row>
    <row r="270" spans="2:8" ht="15">
      <c r="B270" s="385"/>
      <c r="C270" s="386"/>
      <c r="D270" s="392" t="s">
        <v>1031</v>
      </c>
      <c r="E270" s="370">
        <v>0</v>
      </c>
      <c r="F270" s="370">
        <v>0</v>
      </c>
      <c r="G270" s="357" t="e">
        <f t="shared" si="8"/>
        <v>#DIV/0!</v>
      </c>
      <c r="H270" s="358">
        <f t="shared" si="9"/>
        <v>0</v>
      </c>
    </row>
    <row r="271" spans="2:8" ht="15">
      <c r="B271" s="385"/>
      <c r="C271" s="386"/>
      <c r="D271" s="392" t="s">
        <v>1032</v>
      </c>
      <c r="E271" s="370">
        <v>0</v>
      </c>
      <c r="F271" s="370">
        <v>0</v>
      </c>
      <c r="G271" s="357" t="e">
        <f t="shared" si="8"/>
        <v>#DIV/0!</v>
      </c>
      <c r="H271" s="358">
        <f t="shared" si="9"/>
        <v>0</v>
      </c>
    </row>
    <row r="272" spans="2:8" ht="15">
      <c r="B272" s="385"/>
      <c r="C272" s="386"/>
      <c r="D272" s="392" t="s">
        <v>1033</v>
      </c>
      <c r="E272" s="370">
        <v>0</v>
      </c>
      <c r="F272" s="370">
        <v>0</v>
      </c>
      <c r="G272" s="357" t="e">
        <f t="shared" si="8"/>
        <v>#DIV/0!</v>
      </c>
      <c r="H272" s="358">
        <f t="shared" si="9"/>
        <v>0</v>
      </c>
    </row>
    <row r="273" spans="2:8" ht="15">
      <c r="B273" s="385"/>
      <c r="C273" s="386"/>
      <c r="D273" s="392" t="s">
        <v>1034</v>
      </c>
      <c r="E273" s="370">
        <v>0</v>
      </c>
      <c r="F273" s="370">
        <v>0</v>
      </c>
      <c r="G273" s="357" t="e">
        <f t="shared" si="8"/>
        <v>#DIV/0!</v>
      </c>
      <c r="H273" s="358">
        <f t="shared" si="9"/>
        <v>0</v>
      </c>
    </row>
    <row r="274" spans="2:8" ht="15">
      <c r="B274" s="385"/>
      <c r="C274" s="386"/>
      <c r="D274" s="392" t="s">
        <v>1035</v>
      </c>
      <c r="E274" s="370">
        <v>0</v>
      </c>
      <c r="F274" s="370">
        <v>0</v>
      </c>
      <c r="G274" s="357" t="e">
        <f t="shared" si="8"/>
        <v>#DIV/0!</v>
      </c>
      <c r="H274" s="358">
        <f t="shared" si="9"/>
        <v>0</v>
      </c>
    </row>
    <row r="275" spans="2:8" ht="15">
      <c r="B275" s="385"/>
      <c r="C275" s="386"/>
      <c r="D275" s="392" t="s">
        <v>1036</v>
      </c>
      <c r="E275" s="370">
        <v>0</v>
      </c>
      <c r="F275" s="370">
        <v>0</v>
      </c>
      <c r="G275" s="357" t="e">
        <f t="shared" si="8"/>
        <v>#DIV/0!</v>
      </c>
      <c r="H275" s="358">
        <f t="shared" si="9"/>
        <v>0</v>
      </c>
    </row>
    <row r="276" spans="2:8" ht="15">
      <c r="B276" s="385"/>
      <c r="C276" s="386"/>
      <c r="D276" s="392" t="s">
        <v>1037</v>
      </c>
      <c r="E276" s="370">
        <v>0</v>
      </c>
      <c r="F276" s="370">
        <v>0</v>
      </c>
      <c r="G276" s="357" t="e">
        <f t="shared" si="8"/>
        <v>#DIV/0!</v>
      </c>
      <c r="H276" s="358">
        <f t="shared" si="9"/>
        <v>0</v>
      </c>
    </row>
    <row r="277" spans="2:8" ht="15">
      <c r="B277" s="385"/>
      <c r="C277" s="386"/>
      <c r="D277" s="392" t="s">
        <v>1038</v>
      </c>
      <c r="E277" s="370">
        <v>0</v>
      </c>
      <c r="F277" s="370">
        <v>0</v>
      </c>
      <c r="G277" s="357" t="e">
        <f t="shared" si="8"/>
        <v>#DIV/0!</v>
      </c>
      <c r="H277" s="358">
        <f t="shared" si="9"/>
        <v>0</v>
      </c>
    </row>
    <row r="278" spans="2:8" ht="15">
      <c r="B278" s="385"/>
      <c r="C278" s="386"/>
      <c r="D278" s="392" t="s">
        <v>1039</v>
      </c>
      <c r="E278" s="370">
        <v>0</v>
      </c>
      <c r="F278" s="370">
        <v>0</v>
      </c>
      <c r="G278" s="357" t="e">
        <f t="shared" si="8"/>
        <v>#DIV/0!</v>
      </c>
      <c r="H278" s="358">
        <f t="shared" si="9"/>
        <v>0</v>
      </c>
    </row>
    <row r="279" spans="2:8" ht="15">
      <c r="B279" s="385"/>
      <c r="C279" s="386"/>
      <c r="D279" s="392" t="s">
        <v>1040</v>
      </c>
      <c r="E279" s="370">
        <v>0</v>
      </c>
      <c r="F279" s="370">
        <v>0</v>
      </c>
      <c r="G279" s="357" t="e">
        <f t="shared" si="8"/>
        <v>#DIV/0!</v>
      </c>
      <c r="H279" s="358">
        <f t="shared" si="9"/>
        <v>0</v>
      </c>
    </row>
    <row r="280" spans="2:8" ht="15">
      <c r="B280" s="385"/>
      <c r="C280" s="386"/>
      <c r="D280" s="392" t="s">
        <v>1041</v>
      </c>
      <c r="E280" s="370">
        <v>0</v>
      </c>
      <c r="F280" s="370">
        <v>0</v>
      </c>
      <c r="G280" s="357" t="e">
        <f t="shared" si="8"/>
        <v>#DIV/0!</v>
      </c>
      <c r="H280" s="358">
        <f t="shared" si="9"/>
        <v>0</v>
      </c>
    </row>
    <row r="281" spans="2:8" ht="15">
      <c r="B281" s="385"/>
      <c r="C281" s="386"/>
      <c r="D281" s="392" t="s">
        <v>1042</v>
      </c>
      <c r="E281" s="370">
        <v>0</v>
      </c>
      <c r="F281" s="370">
        <v>0</v>
      </c>
      <c r="G281" s="357" t="e">
        <f t="shared" si="8"/>
        <v>#DIV/0!</v>
      </c>
      <c r="H281" s="358">
        <f t="shared" si="9"/>
        <v>0</v>
      </c>
    </row>
    <row r="282" spans="2:8" ht="15">
      <c r="B282" s="385"/>
      <c r="C282" s="386"/>
      <c r="D282" s="392" t="s">
        <v>1043</v>
      </c>
      <c r="E282" s="370">
        <v>0</v>
      </c>
      <c r="F282" s="370">
        <v>0</v>
      </c>
      <c r="G282" s="357" t="e">
        <f t="shared" si="8"/>
        <v>#DIV/0!</v>
      </c>
      <c r="H282" s="358">
        <f t="shared" si="9"/>
        <v>0</v>
      </c>
    </row>
    <row r="283" spans="2:8" ht="15">
      <c r="B283" s="385"/>
      <c r="C283" s="386"/>
      <c r="D283" s="392" t="s">
        <v>1044</v>
      </c>
      <c r="E283" s="370">
        <v>0</v>
      </c>
      <c r="F283" s="370">
        <v>0</v>
      </c>
      <c r="G283" s="357" t="e">
        <f t="shared" si="8"/>
        <v>#DIV/0!</v>
      </c>
      <c r="H283" s="358">
        <f t="shared" si="9"/>
        <v>0</v>
      </c>
    </row>
    <row r="284" spans="2:8" ht="15">
      <c r="B284" s="385"/>
      <c r="C284" s="386"/>
      <c r="D284" s="392" t="s">
        <v>1045</v>
      </c>
      <c r="E284" s="370">
        <v>0</v>
      </c>
      <c r="F284" s="370">
        <v>0</v>
      </c>
      <c r="G284" s="357" t="e">
        <f aca="true" t="shared" si="10" ref="G284:G344">(E284-F284)/F284*100</f>
        <v>#DIV/0!</v>
      </c>
      <c r="H284" s="358">
        <f aca="true" t="shared" si="11" ref="H284:H344">E284-F284</f>
        <v>0</v>
      </c>
    </row>
    <row r="285" spans="2:8" ht="15">
      <c r="B285" s="385"/>
      <c r="C285" s="386"/>
      <c r="D285" s="392" t="s">
        <v>1046</v>
      </c>
      <c r="E285" s="370">
        <v>0</v>
      </c>
      <c r="F285" s="370">
        <v>0</v>
      </c>
      <c r="G285" s="357" t="e">
        <f t="shared" si="10"/>
        <v>#DIV/0!</v>
      </c>
      <c r="H285" s="358">
        <f t="shared" si="11"/>
        <v>0</v>
      </c>
    </row>
    <row r="286" spans="2:8" ht="15">
      <c r="B286" s="421"/>
      <c r="C286" s="422"/>
      <c r="D286" s="392" t="s">
        <v>1047</v>
      </c>
      <c r="E286" s="370">
        <v>0</v>
      </c>
      <c r="F286" s="370">
        <v>0</v>
      </c>
      <c r="G286" s="357" t="e">
        <f t="shared" si="10"/>
        <v>#DIV/0!</v>
      </c>
      <c r="H286" s="358">
        <f t="shared" si="11"/>
        <v>0</v>
      </c>
    </row>
    <row r="287" spans="2:8" ht="15">
      <c r="B287" s="421"/>
      <c r="C287" s="422"/>
      <c r="D287" s="392" t="s">
        <v>1048</v>
      </c>
      <c r="E287" s="370">
        <v>0</v>
      </c>
      <c r="F287" s="370">
        <v>0</v>
      </c>
      <c r="G287" s="357" t="e">
        <f t="shared" si="10"/>
        <v>#DIV/0!</v>
      </c>
      <c r="H287" s="358">
        <f t="shared" si="11"/>
        <v>0</v>
      </c>
    </row>
    <row r="288" spans="2:8" ht="15">
      <c r="B288" s="421"/>
      <c r="C288" s="422"/>
      <c r="D288" s="392" t="s">
        <v>1049</v>
      </c>
      <c r="E288" s="370">
        <v>0</v>
      </c>
      <c r="F288" s="370">
        <v>0</v>
      </c>
      <c r="G288" s="357" t="e">
        <f t="shared" si="10"/>
        <v>#DIV/0!</v>
      </c>
      <c r="H288" s="358">
        <f t="shared" si="11"/>
        <v>0</v>
      </c>
    </row>
    <row r="289" spans="2:8" ht="15">
      <c r="B289" s="421"/>
      <c r="C289" s="422"/>
      <c r="D289" s="392" t="s">
        <v>1050</v>
      </c>
      <c r="E289" s="370">
        <v>0</v>
      </c>
      <c r="F289" s="370">
        <v>0</v>
      </c>
      <c r="G289" s="357" t="e">
        <f t="shared" si="10"/>
        <v>#DIV/0!</v>
      </c>
      <c r="H289" s="358">
        <f t="shared" si="11"/>
        <v>0</v>
      </c>
    </row>
    <row r="290" spans="2:8" ht="15">
      <c r="B290" s="421"/>
      <c r="C290" s="422"/>
      <c r="D290" s="392" t="s">
        <v>1051</v>
      </c>
      <c r="E290" s="370">
        <v>0</v>
      </c>
      <c r="F290" s="370">
        <v>0</v>
      </c>
      <c r="G290" s="357" t="e">
        <f t="shared" si="10"/>
        <v>#DIV/0!</v>
      </c>
      <c r="H290" s="358">
        <f t="shared" si="11"/>
        <v>0</v>
      </c>
    </row>
    <row r="291" spans="2:8" ht="15">
      <c r="B291" s="421"/>
      <c r="C291" s="422"/>
      <c r="D291" s="392" t="s">
        <v>1052</v>
      </c>
      <c r="E291" s="370">
        <v>0</v>
      </c>
      <c r="F291" s="370">
        <v>0</v>
      </c>
      <c r="G291" s="357" t="e">
        <f t="shared" si="10"/>
        <v>#DIV/0!</v>
      </c>
      <c r="H291" s="358">
        <f t="shared" si="11"/>
        <v>0</v>
      </c>
    </row>
    <row r="292" spans="2:8" ht="15">
      <c r="B292" s="421"/>
      <c r="C292" s="422"/>
      <c r="D292" s="392" t="s">
        <v>1053</v>
      </c>
      <c r="E292" s="370">
        <v>0</v>
      </c>
      <c r="F292" s="370">
        <v>0</v>
      </c>
      <c r="G292" s="357" t="e">
        <f t="shared" si="10"/>
        <v>#DIV/0!</v>
      </c>
      <c r="H292" s="358">
        <f t="shared" si="11"/>
        <v>0</v>
      </c>
    </row>
    <row r="293" spans="2:8" ht="15">
      <c r="B293" s="421"/>
      <c r="C293" s="422"/>
      <c r="D293" s="392" t="s">
        <v>1054</v>
      </c>
      <c r="E293" s="370">
        <v>0</v>
      </c>
      <c r="F293" s="370">
        <v>0</v>
      </c>
      <c r="G293" s="357" t="e">
        <f t="shared" si="10"/>
        <v>#DIV/0!</v>
      </c>
      <c r="H293" s="358">
        <f t="shared" si="11"/>
        <v>0</v>
      </c>
    </row>
    <row r="294" spans="2:8" ht="15">
      <c r="B294" s="421"/>
      <c r="C294" s="382"/>
      <c r="D294" s="365" t="s">
        <v>1057</v>
      </c>
      <c r="E294" s="366">
        <f>+E295+E296</f>
        <v>0</v>
      </c>
      <c r="F294" s="367">
        <f>+F295+F296</f>
        <v>0</v>
      </c>
      <c r="G294" s="357" t="e">
        <f t="shared" si="10"/>
        <v>#DIV/0!</v>
      </c>
      <c r="H294" s="358">
        <f t="shared" si="11"/>
        <v>0</v>
      </c>
    </row>
    <row r="295" spans="2:8" ht="15">
      <c r="B295" s="421"/>
      <c r="C295" s="422"/>
      <c r="D295" s="392" t="s">
        <v>1058</v>
      </c>
      <c r="E295" s="370">
        <v>0</v>
      </c>
      <c r="F295" s="370">
        <v>0</v>
      </c>
      <c r="G295" s="357" t="e">
        <f t="shared" si="10"/>
        <v>#DIV/0!</v>
      </c>
      <c r="H295" s="358">
        <f t="shared" si="11"/>
        <v>0</v>
      </c>
    </row>
    <row r="296" spans="2:8" ht="15">
      <c r="B296" s="421"/>
      <c r="C296" s="422"/>
      <c r="D296" s="392" t="s">
        <v>1059</v>
      </c>
      <c r="E296" s="370">
        <v>0</v>
      </c>
      <c r="F296" s="370">
        <v>0</v>
      </c>
      <c r="G296" s="357" t="e">
        <f t="shared" si="10"/>
        <v>#DIV/0!</v>
      </c>
      <c r="H296" s="358">
        <f t="shared" si="11"/>
        <v>0</v>
      </c>
    </row>
    <row r="297" spans="2:8" ht="15">
      <c r="B297" s="421"/>
      <c r="C297" s="382"/>
      <c r="D297" s="365" t="s">
        <v>1060</v>
      </c>
      <c r="E297" s="366">
        <f>+E298+E299+E300+E301+E302</f>
        <v>0</v>
      </c>
      <c r="F297" s="367">
        <f>+F298+F299+F300+F301+F302</f>
        <v>0</v>
      </c>
      <c r="G297" s="357" t="e">
        <f t="shared" si="10"/>
        <v>#DIV/0!</v>
      </c>
      <c r="H297" s="358">
        <f t="shared" si="11"/>
        <v>0</v>
      </c>
    </row>
    <row r="298" spans="2:8" ht="15">
      <c r="B298" s="421"/>
      <c r="C298" s="422"/>
      <c r="D298" s="392" t="s">
        <v>1061</v>
      </c>
      <c r="E298" s="370">
        <v>0</v>
      </c>
      <c r="F298" s="370">
        <v>0</v>
      </c>
      <c r="G298" s="357" t="e">
        <f t="shared" si="10"/>
        <v>#DIV/0!</v>
      </c>
      <c r="H298" s="358">
        <f t="shared" si="11"/>
        <v>0</v>
      </c>
    </row>
    <row r="299" spans="2:8" ht="15">
      <c r="B299" s="421"/>
      <c r="C299" s="422"/>
      <c r="D299" s="392" t="s">
        <v>1062</v>
      </c>
      <c r="E299" s="370">
        <v>0</v>
      </c>
      <c r="F299" s="370">
        <v>0</v>
      </c>
      <c r="G299" s="357" t="e">
        <f t="shared" si="10"/>
        <v>#DIV/0!</v>
      </c>
      <c r="H299" s="358">
        <f t="shared" si="11"/>
        <v>0</v>
      </c>
    </row>
    <row r="300" spans="2:8" ht="15">
      <c r="B300" s="421"/>
      <c r="C300" s="422"/>
      <c r="D300" s="392" t="s">
        <v>1063</v>
      </c>
      <c r="E300" s="370">
        <v>0</v>
      </c>
      <c r="F300" s="370">
        <v>0</v>
      </c>
      <c r="G300" s="357" t="e">
        <f t="shared" si="10"/>
        <v>#DIV/0!</v>
      </c>
      <c r="H300" s="358">
        <f t="shared" si="11"/>
        <v>0</v>
      </c>
    </row>
    <row r="301" spans="2:8" ht="15">
      <c r="B301" s="421"/>
      <c r="C301" s="422"/>
      <c r="D301" s="392" t="s">
        <v>1064</v>
      </c>
      <c r="E301" s="370">
        <v>0</v>
      </c>
      <c r="F301" s="370">
        <v>0</v>
      </c>
      <c r="G301" s="357" t="e">
        <f t="shared" si="10"/>
        <v>#DIV/0!</v>
      </c>
      <c r="H301" s="358">
        <f t="shared" si="11"/>
        <v>0</v>
      </c>
    </row>
    <row r="302" spans="2:8" ht="15">
      <c r="B302" s="421"/>
      <c r="C302" s="422"/>
      <c r="D302" s="392" t="s">
        <v>1065</v>
      </c>
      <c r="E302" s="370">
        <v>0</v>
      </c>
      <c r="F302" s="370">
        <v>0</v>
      </c>
      <c r="G302" s="357" t="e">
        <f t="shared" si="10"/>
        <v>#DIV/0!</v>
      </c>
      <c r="H302" s="358">
        <f t="shared" si="11"/>
        <v>0</v>
      </c>
    </row>
    <row r="303" spans="2:8" ht="15">
      <c r="B303" s="421"/>
      <c r="C303" s="382"/>
      <c r="D303" s="365" t="s">
        <v>268</v>
      </c>
      <c r="E303" s="366">
        <f>+E304+E305</f>
        <v>0</v>
      </c>
      <c r="F303" s="367">
        <f>+F304+F305</f>
        <v>0</v>
      </c>
      <c r="G303" s="357" t="e">
        <f t="shared" si="10"/>
        <v>#DIV/0!</v>
      </c>
      <c r="H303" s="358">
        <f t="shared" si="11"/>
        <v>0</v>
      </c>
    </row>
    <row r="304" spans="2:8" ht="15">
      <c r="B304" s="421"/>
      <c r="C304" s="422"/>
      <c r="D304" s="392" t="s">
        <v>1066</v>
      </c>
      <c r="E304" s="370">
        <v>0</v>
      </c>
      <c r="F304" s="370">
        <v>0</v>
      </c>
      <c r="G304" s="357" t="e">
        <f t="shared" si="10"/>
        <v>#DIV/0!</v>
      </c>
      <c r="H304" s="358">
        <f t="shared" si="11"/>
        <v>0</v>
      </c>
    </row>
    <row r="305" spans="2:8" ht="15">
      <c r="B305" s="421"/>
      <c r="C305" s="422"/>
      <c r="D305" s="392" t="s">
        <v>1067</v>
      </c>
      <c r="E305" s="370">
        <v>0</v>
      </c>
      <c r="F305" s="370">
        <v>0</v>
      </c>
      <c r="G305" s="357" t="e">
        <f t="shared" si="10"/>
        <v>#DIV/0!</v>
      </c>
      <c r="H305" s="358">
        <f t="shared" si="11"/>
        <v>0</v>
      </c>
    </row>
    <row r="306" spans="2:8" ht="15">
      <c r="B306" s="421"/>
      <c r="C306" s="382"/>
      <c r="D306" s="365" t="s">
        <v>1068</v>
      </c>
      <c r="E306" s="366">
        <f>+E307+E308</f>
        <v>0</v>
      </c>
      <c r="F306" s="367">
        <f>+F307+F308</f>
        <v>0</v>
      </c>
      <c r="G306" s="357" t="e">
        <f t="shared" si="10"/>
        <v>#DIV/0!</v>
      </c>
      <c r="H306" s="358">
        <f t="shared" si="11"/>
        <v>0</v>
      </c>
    </row>
    <row r="307" spans="2:8" ht="15">
      <c r="B307" s="421"/>
      <c r="C307" s="422"/>
      <c r="D307" s="392" t="s">
        <v>1069</v>
      </c>
      <c r="E307" s="370">
        <v>0</v>
      </c>
      <c r="F307" s="370">
        <v>0</v>
      </c>
      <c r="G307" s="357" t="e">
        <f t="shared" si="10"/>
        <v>#DIV/0!</v>
      </c>
      <c r="H307" s="358">
        <f t="shared" si="11"/>
        <v>0</v>
      </c>
    </row>
    <row r="308" spans="2:8" ht="15">
      <c r="B308" s="421"/>
      <c r="C308" s="422"/>
      <c r="D308" s="392" t="s">
        <v>1070</v>
      </c>
      <c r="E308" s="370">
        <v>0</v>
      </c>
      <c r="F308" s="370">
        <v>0</v>
      </c>
      <c r="G308" s="357" t="e">
        <f t="shared" si="10"/>
        <v>#DIV/0!</v>
      </c>
      <c r="H308" s="358">
        <f t="shared" si="11"/>
        <v>0</v>
      </c>
    </row>
    <row r="309" spans="2:8" ht="15">
      <c r="B309" s="421"/>
      <c r="C309" s="382"/>
      <c r="D309" s="365" t="s">
        <v>269</v>
      </c>
      <c r="E309" s="366">
        <f>+E310+E311+E312+E313+E314+E315+E316+E317+E318+E319+E320</f>
        <v>0</v>
      </c>
      <c r="F309" s="367">
        <f>+F310+F311+F312+F313+F314+F315+F316+F317+F318+F319+F320</f>
        <v>0</v>
      </c>
      <c r="G309" s="357" t="e">
        <f t="shared" si="10"/>
        <v>#DIV/0!</v>
      </c>
      <c r="H309" s="358">
        <f t="shared" si="11"/>
        <v>0</v>
      </c>
    </row>
    <row r="310" spans="2:8" ht="15">
      <c r="B310" s="421"/>
      <c r="C310" s="422"/>
      <c r="D310" s="392" t="s">
        <v>1071</v>
      </c>
      <c r="E310" s="370">
        <v>0</v>
      </c>
      <c r="F310" s="370">
        <v>0</v>
      </c>
      <c r="G310" s="357" t="e">
        <f t="shared" si="10"/>
        <v>#DIV/0!</v>
      </c>
      <c r="H310" s="358">
        <f t="shared" si="11"/>
        <v>0</v>
      </c>
    </row>
    <row r="311" spans="2:8" ht="15">
      <c r="B311" s="421"/>
      <c r="C311" s="422"/>
      <c r="D311" s="392" t="s">
        <v>1072</v>
      </c>
      <c r="E311" s="370">
        <v>0</v>
      </c>
      <c r="F311" s="370">
        <v>0</v>
      </c>
      <c r="G311" s="357" t="e">
        <f t="shared" si="10"/>
        <v>#DIV/0!</v>
      </c>
      <c r="H311" s="358">
        <f t="shared" si="11"/>
        <v>0</v>
      </c>
    </row>
    <row r="312" spans="2:8" ht="15">
      <c r="B312" s="421"/>
      <c r="C312" s="422"/>
      <c r="D312" s="392" t="s">
        <v>1073</v>
      </c>
      <c r="E312" s="370">
        <v>0</v>
      </c>
      <c r="F312" s="370">
        <v>0</v>
      </c>
      <c r="G312" s="357" t="e">
        <f t="shared" si="10"/>
        <v>#DIV/0!</v>
      </c>
      <c r="H312" s="358">
        <f t="shared" si="11"/>
        <v>0</v>
      </c>
    </row>
    <row r="313" spans="2:8" ht="15">
      <c r="B313" s="421"/>
      <c r="C313" s="422"/>
      <c r="D313" s="392" t="s">
        <v>1074</v>
      </c>
      <c r="E313" s="370">
        <v>0</v>
      </c>
      <c r="F313" s="370">
        <v>0</v>
      </c>
      <c r="G313" s="357" t="e">
        <f t="shared" si="10"/>
        <v>#DIV/0!</v>
      </c>
      <c r="H313" s="358">
        <f t="shared" si="11"/>
        <v>0</v>
      </c>
    </row>
    <row r="314" spans="2:8" ht="15">
      <c r="B314" s="421"/>
      <c r="C314" s="422"/>
      <c r="D314" s="392" t="s">
        <v>1075</v>
      </c>
      <c r="E314" s="370">
        <v>0</v>
      </c>
      <c r="F314" s="370">
        <v>0</v>
      </c>
      <c r="G314" s="357" t="e">
        <f t="shared" si="10"/>
        <v>#DIV/0!</v>
      </c>
      <c r="H314" s="358">
        <f t="shared" si="11"/>
        <v>0</v>
      </c>
    </row>
    <row r="315" spans="2:8" ht="15">
      <c r="B315" s="421"/>
      <c r="C315" s="422"/>
      <c r="D315" s="392" t="s">
        <v>1076</v>
      </c>
      <c r="E315" s="370">
        <v>0</v>
      </c>
      <c r="F315" s="370">
        <v>0</v>
      </c>
      <c r="G315" s="357" t="e">
        <f t="shared" si="10"/>
        <v>#DIV/0!</v>
      </c>
      <c r="H315" s="358">
        <f t="shared" si="11"/>
        <v>0</v>
      </c>
    </row>
    <row r="316" spans="2:8" ht="15">
      <c r="B316" s="421"/>
      <c r="C316" s="422"/>
      <c r="D316" s="392" t="s">
        <v>1077</v>
      </c>
      <c r="E316" s="370">
        <v>0</v>
      </c>
      <c r="F316" s="370">
        <v>0</v>
      </c>
      <c r="G316" s="357" t="e">
        <f t="shared" si="10"/>
        <v>#DIV/0!</v>
      </c>
      <c r="H316" s="358">
        <f t="shared" si="11"/>
        <v>0</v>
      </c>
    </row>
    <row r="317" spans="2:8" ht="15">
      <c r="B317" s="421"/>
      <c r="C317" s="422"/>
      <c r="D317" s="392" t="s">
        <v>1078</v>
      </c>
      <c r="E317" s="370">
        <v>0</v>
      </c>
      <c r="F317" s="370">
        <v>0</v>
      </c>
      <c r="G317" s="357" t="e">
        <f t="shared" si="10"/>
        <v>#DIV/0!</v>
      </c>
      <c r="H317" s="358">
        <f t="shared" si="11"/>
        <v>0</v>
      </c>
    </row>
    <row r="318" spans="2:8" ht="15">
      <c r="B318" s="421"/>
      <c r="C318" s="422"/>
      <c r="D318" s="392" t="s">
        <v>1079</v>
      </c>
      <c r="E318" s="370">
        <v>0</v>
      </c>
      <c r="F318" s="370">
        <v>0</v>
      </c>
      <c r="G318" s="357" t="e">
        <f t="shared" si="10"/>
        <v>#DIV/0!</v>
      </c>
      <c r="H318" s="358">
        <f t="shared" si="11"/>
        <v>0</v>
      </c>
    </row>
    <row r="319" spans="2:8" ht="15">
      <c r="B319" s="421"/>
      <c r="C319" s="422"/>
      <c r="D319" s="392" t="s">
        <v>1080</v>
      </c>
      <c r="E319" s="370">
        <v>0</v>
      </c>
      <c r="F319" s="370">
        <v>0</v>
      </c>
      <c r="G319" s="357" t="e">
        <f t="shared" si="10"/>
        <v>#DIV/0!</v>
      </c>
      <c r="H319" s="358">
        <f t="shared" si="11"/>
        <v>0</v>
      </c>
    </row>
    <row r="320" spans="2:8" ht="15">
      <c r="B320" s="421"/>
      <c r="C320" s="422"/>
      <c r="D320" s="392" t="s">
        <v>1081</v>
      </c>
      <c r="E320" s="370">
        <v>0</v>
      </c>
      <c r="F320" s="370">
        <v>0</v>
      </c>
      <c r="G320" s="357" t="e">
        <f t="shared" si="10"/>
        <v>#DIV/0!</v>
      </c>
      <c r="H320" s="358">
        <f t="shared" si="11"/>
        <v>0</v>
      </c>
    </row>
    <row r="321" spans="2:8" ht="15">
      <c r="B321" s="421"/>
      <c r="C321" s="382"/>
      <c r="D321" s="365" t="s">
        <v>1082</v>
      </c>
      <c r="E321" s="366">
        <f>+E322+E323+E324+E325+E326+E327</f>
        <v>0</v>
      </c>
      <c r="F321" s="367">
        <f>+F322+F323+F324+F325+F326+F327</f>
        <v>0</v>
      </c>
      <c r="G321" s="357" t="e">
        <f t="shared" si="10"/>
        <v>#DIV/0!</v>
      </c>
      <c r="H321" s="358">
        <f t="shared" si="11"/>
        <v>0</v>
      </c>
    </row>
    <row r="322" spans="2:8" ht="15">
      <c r="B322" s="421"/>
      <c r="C322" s="422"/>
      <c r="D322" s="392" t="s">
        <v>1083</v>
      </c>
      <c r="E322" s="370">
        <v>0</v>
      </c>
      <c r="F322" s="370">
        <v>0</v>
      </c>
      <c r="G322" s="357" t="e">
        <f t="shared" si="10"/>
        <v>#DIV/0!</v>
      </c>
      <c r="H322" s="358">
        <f t="shared" si="11"/>
        <v>0</v>
      </c>
    </row>
    <row r="323" spans="2:8" ht="15">
      <c r="B323" s="421"/>
      <c r="C323" s="422"/>
      <c r="D323" s="392" t="s">
        <v>1084</v>
      </c>
      <c r="E323" s="370">
        <v>0</v>
      </c>
      <c r="F323" s="370">
        <v>0</v>
      </c>
      <c r="G323" s="357" t="e">
        <f t="shared" si="10"/>
        <v>#DIV/0!</v>
      </c>
      <c r="H323" s="358">
        <f t="shared" si="11"/>
        <v>0</v>
      </c>
    </row>
    <row r="324" spans="2:8" ht="15">
      <c r="B324" s="421"/>
      <c r="C324" s="422"/>
      <c r="D324" s="392" t="s">
        <v>1085</v>
      </c>
      <c r="E324" s="370">
        <v>0</v>
      </c>
      <c r="F324" s="370">
        <v>0</v>
      </c>
      <c r="G324" s="357" t="e">
        <f t="shared" si="10"/>
        <v>#DIV/0!</v>
      </c>
      <c r="H324" s="358">
        <f t="shared" si="11"/>
        <v>0</v>
      </c>
    </row>
    <row r="325" spans="2:8" ht="15">
      <c r="B325" s="421"/>
      <c r="C325" s="422"/>
      <c r="D325" s="392" t="s">
        <v>1086</v>
      </c>
      <c r="E325" s="370">
        <v>0</v>
      </c>
      <c r="F325" s="370">
        <v>0</v>
      </c>
      <c r="G325" s="357" t="e">
        <f t="shared" si="10"/>
        <v>#DIV/0!</v>
      </c>
      <c r="H325" s="358">
        <f t="shared" si="11"/>
        <v>0</v>
      </c>
    </row>
    <row r="326" spans="2:8" ht="15">
      <c r="B326" s="421"/>
      <c r="C326" s="422"/>
      <c r="D326" s="392" t="s">
        <v>1087</v>
      </c>
      <c r="E326" s="370">
        <v>0</v>
      </c>
      <c r="F326" s="370">
        <v>0</v>
      </c>
      <c r="G326" s="357" t="e">
        <f t="shared" si="10"/>
        <v>#DIV/0!</v>
      </c>
      <c r="H326" s="358">
        <f t="shared" si="11"/>
        <v>0</v>
      </c>
    </row>
    <row r="327" spans="2:8" ht="15">
      <c r="B327" s="421"/>
      <c r="C327" s="422"/>
      <c r="D327" s="392" t="s">
        <v>1088</v>
      </c>
      <c r="E327" s="370">
        <v>0</v>
      </c>
      <c r="F327" s="370">
        <v>0</v>
      </c>
      <c r="G327" s="357" t="e">
        <f t="shared" si="10"/>
        <v>#DIV/0!</v>
      </c>
      <c r="H327" s="358">
        <f t="shared" si="11"/>
        <v>0</v>
      </c>
    </row>
    <row r="328" spans="2:8" ht="15">
      <c r="B328" s="421"/>
      <c r="C328" s="382"/>
      <c r="D328" s="365" t="s">
        <v>271</v>
      </c>
      <c r="E328" s="366">
        <f>+E329+E330+E331+E332+E333+E334</f>
        <v>0</v>
      </c>
      <c r="F328" s="367">
        <f>+F329+F330+F331+F332+F333+F334</f>
        <v>0</v>
      </c>
      <c r="G328" s="357" t="e">
        <f t="shared" si="10"/>
        <v>#DIV/0!</v>
      </c>
      <c r="H328" s="358">
        <f t="shared" si="11"/>
        <v>0</v>
      </c>
    </row>
    <row r="329" spans="2:8" ht="15">
      <c r="B329" s="421"/>
      <c r="C329" s="422"/>
      <c r="D329" s="392" t="s">
        <v>1089</v>
      </c>
      <c r="E329" s="370">
        <v>0</v>
      </c>
      <c r="F329" s="370">
        <v>0</v>
      </c>
      <c r="G329" s="357" t="e">
        <f t="shared" si="10"/>
        <v>#DIV/0!</v>
      </c>
      <c r="H329" s="358">
        <f t="shared" si="11"/>
        <v>0</v>
      </c>
    </row>
    <row r="330" spans="2:8" ht="15">
      <c r="B330" s="421"/>
      <c r="C330" s="422"/>
      <c r="D330" s="392" t="s">
        <v>1090</v>
      </c>
      <c r="E330" s="370">
        <v>0</v>
      </c>
      <c r="F330" s="370">
        <v>0</v>
      </c>
      <c r="G330" s="357" t="e">
        <f t="shared" si="10"/>
        <v>#DIV/0!</v>
      </c>
      <c r="H330" s="358">
        <f t="shared" si="11"/>
        <v>0</v>
      </c>
    </row>
    <row r="331" spans="2:8" ht="15">
      <c r="B331" s="421"/>
      <c r="C331" s="422"/>
      <c r="D331" s="392" t="s">
        <v>1091</v>
      </c>
      <c r="E331" s="370">
        <v>0</v>
      </c>
      <c r="F331" s="370">
        <v>0</v>
      </c>
      <c r="G331" s="357" t="e">
        <f t="shared" si="10"/>
        <v>#DIV/0!</v>
      </c>
      <c r="H331" s="358">
        <f t="shared" si="11"/>
        <v>0</v>
      </c>
    </row>
    <row r="332" spans="2:8" ht="15">
      <c r="B332" s="421"/>
      <c r="C332" s="422"/>
      <c r="D332" s="392" t="s">
        <v>1092</v>
      </c>
      <c r="E332" s="370">
        <v>0</v>
      </c>
      <c r="F332" s="370">
        <v>0</v>
      </c>
      <c r="G332" s="357" t="e">
        <f t="shared" si="10"/>
        <v>#DIV/0!</v>
      </c>
      <c r="H332" s="358">
        <f t="shared" si="11"/>
        <v>0</v>
      </c>
    </row>
    <row r="333" spans="2:8" ht="15">
      <c r="B333" s="421"/>
      <c r="C333" s="422"/>
      <c r="D333" s="392" t="s">
        <v>1093</v>
      </c>
      <c r="E333" s="370">
        <v>0</v>
      </c>
      <c r="F333" s="370">
        <v>0</v>
      </c>
      <c r="G333" s="357" t="e">
        <f t="shared" si="10"/>
        <v>#DIV/0!</v>
      </c>
      <c r="H333" s="358">
        <f t="shared" si="11"/>
        <v>0</v>
      </c>
    </row>
    <row r="334" spans="2:8" ht="15">
      <c r="B334" s="421"/>
      <c r="C334" s="422"/>
      <c r="D334" s="392" t="s">
        <v>1094</v>
      </c>
      <c r="E334" s="370">
        <v>0</v>
      </c>
      <c r="F334" s="370">
        <v>0</v>
      </c>
      <c r="G334" s="357" t="e">
        <f t="shared" si="10"/>
        <v>#DIV/0!</v>
      </c>
      <c r="H334" s="358">
        <f t="shared" si="11"/>
        <v>0</v>
      </c>
    </row>
    <row r="335" spans="2:8" ht="15">
      <c r="B335" s="421"/>
      <c r="C335" s="382"/>
      <c r="D335" s="365" t="s">
        <v>1095</v>
      </c>
      <c r="E335" s="366">
        <f>+E336</f>
        <v>0</v>
      </c>
      <c r="F335" s="367">
        <f>+F336</f>
        <v>0</v>
      </c>
      <c r="G335" s="357" t="e">
        <f t="shared" si="10"/>
        <v>#DIV/0!</v>
      </c>
      <c r="H335" s="358">
        <f t="shared" si="11"/>
        <v>0</v>
      </c>
    </row>
    <row r="336" spans="2:8" ht="15">
      <c r="B336" s="421"/>
      <c r="C336" s="422"/>
      <c r="D336" s="392" t="s">
        <v>1096</v>
      </c>
      <c r="E336" s="370">
        <v>0</v>
      </c>
      <c r="F336" s="370">
        <v>0</v>
      </c>
      <c r="G336" s="357" t="e">
        <f t="shared" si="10"/>
        <v>#DIV/0!</v>
      </c>
      <c r="H336" s="358">
        <f t="shared" si="11"/>
        <v>0</v>
      </c>
    </row>
    <row r="337" spans="2:8" ht="15">
      <c r="B337" s="421"/>
      <c r="C337" s="382"/>
      <c r="D337" s="365" t="s">
        <v>1097</v>
      </c>
      <c r="E337" s="366">
        <f>+E338+E339+E340+E341+E342+E343+E344</f>
        <v>0</v>
      </c>
      <c r="F337" s="367">
        <f>+F338+F339+F340+F341+F342+F343+F344</f>
        <v>0</v>
      </c>
      <c r="G337" s="357" t="e">
        <f t="shared" si="10"/>
        <v>#DIV/0!</v>
      </c>
      <c r="H337" s="358">
        <f t="shared" si="11"/>
        <v>0</v>
      </c>
    </row>
    <row r="338" spans="2:8" ht="15">
      <c r="B338" s="421"/>
      <c r="C338" s="422"/>
      <c r="D338" s="392" t="s">
        <v>1098</v>
      </c>
      <c r="E338" s="370">
        <v>0</v>
      </c>
      <c r="F338" s="370">
        <v>0</v>
      </c>
      <c r="G338" s="357" t="e">
        <f t="shared" si="10"/>
        <v>#DIV/0!</v>
      </c>
      <c r="H338" s="358">
        <f t="shared" si="11"/>
        <v>0</v>
      </c>
    </row>
    <row r="339" spans="2:8" ht="15">
      <c r="B339" s="421"/>
      <c r="C339" s="422"/>
      <c r="D339" s="392" t="s">
        <v>1099</v>
      </c>
      <c r="E339" s="370">
        <v>0</v>
      </c>
      <c r="F339" s="370">
        <v>0</v>
      </c>
      <c r="G339" s="357" t="e">
        <f t="shared" si="10"/>
        <v>#DIV/0!</v>
      </c>
      <c r="H339" s="358">
        <f t="shared" si="11"/>
        <v>0</v>
      </c>
    </row>
    <row r="340" spans="2:8" ht="15">
      <c r="B340" s="421"/>
      <c r="C340" s="422"/>
      <c r="D340" s="392" t="s">
        <v>1100</v>
      </c>
      <c r="E340" s="370">
        <v>0</v>
      </c>
      <c r="F340" s="370">
        <v>0</v>
      </c>
      <c r="G340" s="357" t="e">
        <f t="shared" si="10"/>
        <v>#DIV/0!</v>
      </c>
      <c r="H340" s="358">
        <f t="shared" si="11"/>
        <v>0</v>
      </c>
    </row>
    <row r="341" spans="2:8" ht="15">
      <c r="B341" s="421"/>
      <c r="C341" s="422"/>
      <c r="D341" s="392" t="s">
        <v>1101</v>
      </c>
      <c r="E341" s="370">
        <v>0</v>
      </c>
      <c r="F341" s="370">
        <v>0</v>
      </c>
      <c r="G341" s="357" t="e">
        <f t="shared" si="10"/>
        <v>#DIV/0!</v>
      </c>
      <c r="H341" s="358">
        <f t="shared" si="11"/>
        <v>0</v>
      </c>
    </row>
    <row r="342" spans="2:8" ht="15">
      <c r="B342" s="421"/>
      <c r="C342" s="422"/>
      <c r="D342" s="392" t="s">
        <v>1102</v>
      </c>
      <c r="E342" s="370">
        <v>0</v>
      </c>
      <c r="F342" s="370">
        <v>0</v>
      </c>
      <c r="G342" s="357" t="e">
        <f t="shared" si="10"/>
        <v>#DIV/0!</v>
      </c>
      <c r="H342" s="358">
        <f t="shared" si="11"/>
        <v>0</v>
      </c>
    </row>
    <row r="343" spans="2:8" ht="15">
      <c r="B343" s="421"/>
      <c r="C343" s="422"/>
      <c r="D343" s="392" t="s">
        <v>1103</v>
      </c>
      <c r="E343" s="370">
        <v>0</v>
      </c>
      <c r="F343" s="370">
        <v>0</v>
      </c>
      <c r="G343" s="357" t="e">
        <f t="shared" si="10"/>
        <v>#DIV/0!</v>
      </c>
      <c r="H343" s="358">
        <f t="shared" si="11"/>
        <v>0</v>
      </c>
    </row>
    <row r="344" spans="2:8" ht="15">
      <c r="B344" s="421"/>
      <c r="C344" s="422"/>
      <c r="D344" s="392" t="s">
        <v>1104</v>
      </c>
      <c r="E344" s="370">
        <v>0</v>
      </c>
      <c r="F344" s="370">
        <v>0</v>
      </c>
      <c r="G344" s="357" t="e">
        <f t="shared" si="10"/>
        <v>#DIV/0!</v>
      </c>
      <c r="H344" s="358">
        <f t="shared" si="11"/>
        <v>0</v>
      </c>
    </row>
    <row r="345" spans="2:8" ht="15">
      <c r="B345" s="421"/>
      <c r="C345" s="382"/>
      <c r="D345" s="365" t="s">
        <v>1105</v>
      </c>
      <c r="E345" s="366">
        <f>+E346</f>
        <v>0</v>
      </c>
      <c r="F345" s="367">
        <f>+F346</f>
        <v>0</v>
      </c>
      <c r="G345" s="357" t="e">
        <f aca="true" t="shared" si="12" ref="G345:G408">(E345-F345)/F345*100</f>
        <v>#DIV/0!</v>
      </c>
      <c r="H345" s="358">
        <f aca="true" t="shared" si="13" ref="H345:H408">E345-F345</f>
        <v>0</v>
      </c>
    </row>
    <row r="346" spans="2:8" ht="15">
      <c r="B346" s="421"/>
      <c r="C346" s="422"/>
      <c r="D346" s="392" t="s">
        <v>1106</v>
      </c>
      <c r="E346" s="370">
        <v>0</v>
      </c>
      <c r="F346" s="370">
        <v>0</v>
      </c>
      <c r="G346" s="357" t="e">
        <f t="shared" si="12"/>
        <v>#DIV/0!</v>
      </c>
      <c r="H346" s="358">
        <f t="shared" si="13"/>
        <v>0</v>
      </c>
    </row>
    <row r="347" spans="2:8" ht="15">
      <c r="B347" s="421"/>
      <c r="C347" s="382"/>
      <c r="D347" s="365" t="s">
        <v>1107</v>
      </c>
      <c r="E347" s="366">
        <f>+E348+E349</f>
        <v>0</v>
      </c>
      <c r="F347" s="367">
        <f>+F348+F349</f>
        <v>0</v>
      </c>
      <c r="G347" s="357" t="e">
        <f t="shared" si="12"/>
        <v>#DIV/0!</v>
      </c>
      <c r="H347" s="358">
        <f t="shared" si="13"/>
        <v>0</v>
      </c>
    </row>
    <row r="348" spans="2:8" ht="15">
      <c r="B348" s="421"/>
      <c r="C348" s="422"/>
      <c r="D348" s="392" t="s">
        <v>1108</v>
      </c>
      <c r="E348" s="370">
        <v>0</v>
      </c>
      <c r="F348" s="370">
        <v>0</v>
      </c>
      <c r="G348" s="357" t="e">
        <f t="shared" si="12"/>
        <v>#DIV/0!</v>
      </c>
      <c r="H348" s="358">
        <f t="shared" si="13"/>
        <v>0</v>
      </c>
    </row>
    <row r="349" spans="2:8" ht="15">
      <c r="B349" s="421"/>
      <c r="C349" s="422"/>
      <c r="D349" s="392" t="s">
        <v>1109</v>
      </c>
      <c r="E349" s="370">
        <v>0</v>
      </c>
      <c r="F349" s="370">
        <v>0</v>
      </c>
      <c r="G349" s="357" t="e">
        <f t="shared" si="12"/>
        <v>#DIV/0!</v>
      </c>
      <c r="H349" s="358">
        <f t="shared" si="13"/>
        <v>0</v>
      </c>
    </row>
    <row r="350" spans="2:8" ht="15">
      <c r="B350" s="421"/>
      <c r="C350" s="382"/>
      <c r="D350" s="365" t="s">
        <v>1110</v>
      </c>
      <c r="E350" s="366">
        <f>+E351</f>
        <v>0</v>
      </c>
      <c r="F350" s="367">
        <f>+F351</f>
        <v>0</v>
      </c>
      <c r="G350" s="357" t="e">
        <f t="shared" si="12"/>
        <v>#DIV/0!</v>
      </c>
      <c r="H350" s="358">
        <f t="shared" si="13"/>
        <v>0</v>
      </c>
    </row>
    <row r="351" spans="2:8" ht="15">
      <c r="B351" s="421"/>
      <c r="C351" s="422"/>
      <c r="D351" s="392" t="s">
        <v>1111</v>
      </c>
      <c r="E351" s="370">
        <v>0</v>
      </c>
      <c r="F351" s="370">
        <v>0</v>
      </c>
      <c r="G351" s="357" t="e">
        <f t="shared" si="12"/>
        <v>#DIV/0!</v>
      </c>
      <c r="H351" s="358">
        <f t="shared" si="13"/>
        <v>0</v>
      </c>
    </row>
    <row r="352" spans="2:8" ht="15">
      <c r="B352" s="421"/>
      <c r="C352" s="382"/>
      <c r="D352" s="365" t="s">
        <v>1112</v>
      </c>
      <c r="E352" s="366">
        <f>+E353</f>
        <v>0</v>
      </c>
      <c r="F352" s="367">
        <f>+F353</f>
        <v>0</v>
      </c>
      <c r="G352" s="357" t="e">
        <f t="shared" si="12"/>
        <v>#DIV/0!</v>
      </c>
      <c r="H352" s="358">
        <f t="shared" si="13"/>
        <v>0</v>
      </c>
    </row>
    <row r="353" spans="2:8" ht="15">
      <c r="B353" s="421"/>
      <c r="C353" s="422"/>
      <c r="D353" s="392" t="s">
        <v>1113</v>
      </c>
      <c r="E353" s="370">
        <v>0</v>
      </c>
      <c r="F353" s="370">
        <v>0</v>
      </c>
      <c r="G353" s="357" t="e">
        <f t="shared" si="12"/>
        <v>#DIV/0!</v>
      </c>
      <c r="H353" s="358">
        <f t="shared" si="13"/>
        <v>0</v>
      </c>
    </row>
    <row r="354" spans="2:8" ht="15">
      <c r="B354" s="421"/>
      <c r="C354" s="382"/>
      <c r="D354" s="365" t="s">
        <v>985</v>
      </c>
      <c r="E354" s="366">
        <f>+E355+E356+E357+E358</f>
        <v>0</v>
      </c>
      <c r="F354" s="367">
        <f>+F355+F356+F357+F358</f>
        <v>0</v>
      </c>
      <c r="G354" s="357" t="e">
        <f t="shared" si="12"/>
        <v>#DIV/0!</v>
      </c>
      <c r="H354" s="358">
        <f t="shared" si="13"/>
        <v>0</v>
      </c>
    </row>
    <row r="355" spans="2:8" ht="15">
      <c r="B355" s="421"/>
      <c r="C355" s="422"/>
      <c r="D355" s="392" t="s">
        <v>986</v>
      </c>
      <c r="E355" s="370">
        <v>0</v>
      </c>
      <c r="F355" s="370">
        <v>0</v>
      </c>
      <c r="G355" s="357" t="e">
        <f t="shared" si="12"/>
        <v>#DIV/0!</v>
      </c>
      <c r="H355" s="358">
        <f t="shared" si="13"/>
        <v>0</v>
      </c>
    </row>
    <row r="356" spans="2:8" ht="15">
      <c r="B356" s="421"/>
      <c r="C356" s="422"/>
      <c r="D356" s="392" t="s">
        <v>987</v>
      </c>
      <c r="E356" s="370">
        <v>0</v>
      </c>
      <c r="F356" s="370">
        <v>0</v>
      </c>
      <c r="G356" s="357" t="e">
        <f t="shared" si="12"/>
        <v>#DIV/0!</v>
      </c>
      <c r="H356" s="358">
        <f t="shared" si="13"/>
        <v>0</v>
      </c>
    </row>
    <row r="357" spans="2:8" ht="15">
      <c r="B357" s="421"/>
      <c r="C357" s="422"/>
      <c r="D357" s="392" t="s">
        <v>988</v>
      </c>
      <c r="E357" s="370">
        <v>0</v>
      </c>
      <c r="F357" s="370">
        <v>0</v>
      </c>
      <c r="G357" s="357" t="e">
        <f t="shared" si="12"/>
        <v>#DIV/0!</v>
      </c>
      <c r="H357" s="358">
        <f t="shared" si="13"/>
        <v>0</v>
      </c>
    </row>
    <row r="358" spans="2:8" ht="15">
      <c r="B358" s="421"/>
      <c r="C358" s="422"/>
      <c r="D358" s="392" t="s">
        <v>989</v>
      </c>
      <c r="E358" s="370">
        <v>0</v>
      </c>
      <c r="F358" s="370">
        <v>0</v>
      </c>
      <c r="G358" s="357" t="e">
        <f t="shared" si="12"/>
        <v>#DIV/0!</v>
      </c>
      <c r="H358" s="358">
        <f t="shared" si="13"/>
        <v>0</v>
      </c>
    </row>
    <row r="359" spans="2:8" ht="15">
      <c r="B359" s="421"/>
      <c r="C359" s="382"/>
      <c r="D359" s="365" t="s">
        <v>280</v>
      </c>
      <c r="E359" s="366">
        <f>+E360+E361</f>
        <v>0</v>
      </c>
      <c r="F359" s="367">
        <f>+F360+F361</f>
        <v>0</v>
      </c>
      <c r="G359" s="357" t="e">
        <f t="shared" si="12"/>
        <v>#DIV/0!</v>
      </c>
      <c r="H359" s="358">
        <f t="shared" si="13"/>
        <v>0</v>
      </c>
    </row>
    <row r="360" spans="2:8" ht="15">
      <c r="B360" s="421"/>
      <c r="C360" s="422"/>
      <c r="D360" s="392" t="s">
        <v>1114</v>
      </c>
      <c r="E360" s="370">
        <v>0</v>
      </c>
      <c r="F360" s="370">
        <v>0</v>
      </c>
      <c r="G360" s="357" t="e">
        <f t="shared" si="12"/>
        <v>#DIV/0!</v>
      </c>
      <c r="H360" s="358">
        <f t="shared" si="13"/>
        <v>0</v>
      </c>
    </row>
    <row r="361" spans="2:8" ht="15">
      <c r="B361" s="421"/>
      <c r="C361" s="422"/>
      <c r="D361" s="392" t="s">
        <v>1115</v>
      </c>
      <c r="E361" s="370">
        <v>0</v>
      </c>
      <c r="F361" s="370">
        <v>0</v>
      </c>
      <c r="G361" s="357" t="e">
        <f t="shared" si="12"/>
        <v>#DIV/0!</v>
      </c>
      <c r="H361" s="358">
        <f t="shared" si="13"/>
        <v>0</v>
      </c>
    </row>
    <row r="362" spans="2:8" ht="15">
      <c r="B362" s="352"/>
      <c r="C362" s="423">
        <v>4</v>
      </c>
      <c r="D362" s="424" t="s">
        <v>48</v>
      </c>
      <c r="E362" s="425">
        <f>+E363+E370</f>
        <v>26517000</v>
      </c>
      <c r="F362" s="426">
        <f>+F363+F370</f>
        <v>0</v>
      </c>
      <c r="G362" s="357" t="e">
        <f t="shared" si="12"/>
        <v>#DIV/0!</v>
      </c>
      <c r="H362" s="358">
        <f t="shared" si="13"/>
        <v>26517000</v>
      </c>
    </row>
    <row r="363" spans="2:8" ht="15">
      <c r="B363" s="421"/>
      <c r="C363" s="382"/>
      <c r="D363" s="365" t="s">
        <v>264</v>
      </c>
      <c r="E363" s="366">
        <f>+E364+E365+E366+E367+E368+E369</f>
        <v>26517000</v>
      </c>
      <c r="F363" s="367">
        <f>+F364+F365+F366+F367+F368+F369</f>
        <v>0</v>
      </c>
      <c r="G363" s="357" t="e">
        <f t="shared" si="12"/>
        <v>#DIV/0!</v>
      </c>
      <c r="H363" s="358">
        <f t="shared" si="13"/>
        <v>26517000</v>
      </c>
    </row>
    <row r="364" spans="2:8" ht="15">
      <c r="B364" s="421"/>
      <c r="C364" s="422"/>
      <c r="D364" s="392" t="s">
        <v>1116</v>
      </c>
      <c r="E364" s="370">
        <v>26517000</v>
      </c>
      <c r="F364" s="370">
        <v>0</v>
      </c>
      <c r="G364" s="357" t="e">
        <f t="shared" si="12"/>
        <v>#DIV/0!</v>
      </c>
      <c r="H364" s="358">
        <f t="shared" si="13"/>
        <v>26517000</v>
      </c>
    </row>
    <row r="365" spans="2:8" ht="15">
      <c r="B365" s="421"/>
      <c r="C365" s="422"/>
      <c r="D365" s="392" t="s">
        <v>1117</v>
      </c>
      <c r="E365" s="370">
        <v>0</v>
      </c>
      <c r="F365" s="370">
        <v>0</v>
      </c>
      <c r="G365" s="357" t="e">
        <f t="shared" si="12"/>
        <v>#DIV/0!</v>
      </c>
      <c r="H365" s="358">
        <f t="shared" si="13"/>
        <v>0</v>
      </c>
    </row>
    <row r="366" spans="2:8" ht="15">
      <c r="B366" s="421"/>
      <c r="C366" s="422"/>
      <c r="D366" s="392" t="s">
        <v>1118</v>
      </c>
      <c r="E366" s="370">
        <v>0</v>
      </c>
      <c r="F366" s="370">
        <v>0</v>
      </c>
      <c r="G366" s="357" t="e">
        <f t="shared" si="12"/>
        <v>#DIV/0!</v>
      </c>
      <c r="H366" s="358">
        <f t="shared" si="13"/>
        <v>0</v>
      </c>
    </row>
    <row r="367" spans="2:8" ht="15">
      <c r="B367" s="421"/>
      <c r="C367" s="422"/>
      <c r="D367" s="392" t="s">
        <v>1119</v>
      </c>
      <c r="E367" s="370">
        <v>0</v>
      </c>
      <c r="F367" s="370">
        <v>0</v>
      </c>
      <c r="G367" s="357" t="e">
        <f t="shared" si="12"/>
        <v>#DIV/0!</v>
      </c>
      <c r="H367" s="358">
        <f t="shared" si="13"/>
        <v>0</v>
      </c>
    </row>
    <row r="368" spans="2:8" ht="15">
      <c r="B368" s="421"/>
      <c r="C368" s="422"/>
      <c r="D368" s="392" t="s">
        <v>1120</v>
      </c>
      <c r="E368" s="370">
        <v>0</v>
      </c>
      <c r="F368" s="370">
        <v>0</v>
      </c>
      <c r="G368" s="357" t="e">
        <f t="shared" si="12"/>
        <v>#DIV/0!</v>
      </c>
      <c r="H368" s="358">
        <f t="shared" si="13"/>
        <v>0</v>
      </c>
    </row>
    <row r="369" spans="2:8" ht="15">
      <c r="B369" s="421"/>
      <c r="C369" s="422"/>
      <c r="D369" s="392" t="s">
        <v>1121</v>
      </c>
      <c r="E369" s="370">
        <v>0</v>
      </c>
      <c r="F369" s="370">
        <v>0</v>
      </c>
      <c r="G369" s="357" t="e">
        <f t="shared" si="12"/>
        <v>#DIV/0!</v>
      </c>
      <c r="H369" s="358">
        <f t="shared" si="13"/>
        <v>0</v>
      </c>
    </row>
    <row r="370" spans="2:8" ht="15">
      <c r="B370" s="421"/>
      <c r="C370" s="382"/>
      <c r="D370" s="365" t="s">
        <v>21</v>
      </c>
      <c r="E370" s="366">
        <f>+E371+E372+E373+E374</f>
        <v>0</v>
      </c>
      <c r="F370" s="367">
        <f>+F371+F372+F373+F374</f>
        <v>0</v>
      </c>
      <c r="G370" s="357" t="e">
        <f t="shared" si="12"/>
        <v>#DIV/0!</v>
      </c>
      <c r="H370" s="358">
        <f t="shared" si="13"/>
        <v>0</v>
      </c>
    </row>
    <row r="371" spans="2:8" ht="15">
      <c r="B371" s="421"/>
      <c r="C371" s="422"/>
      <c r="D371" s="392" t="s">
        <v>1122</v>
      </c>
      <c r="E371" s="370">
        <v>0</v>
      </c>
      <c r="F371" s="370">
        <v>0</v>
      </c>
      <c r="G371" s="357" t="e">
        <f t="shared" si="12"/>
        <v>#DIV/0!</v>
      </c>
      <c r="H371" s="358">
        <f t="shared" si="13"/>
        <v>0</v>
      </c>
    </row>
    <row r="372" spans="2:8" ht="15">
      <c r="B372" s="421"/>
      <c r="C372" s="422"/>
      <c r="D372" s="392" t="s">
        <v>1123</v>
      </c>
      <c r="E372" s="370">
        <v>0</v>
      </c>
      <c r="F372" s="370">
        <v>0</v>
      </c>
      <c r="G372" s="357" t="e">
        <f t="shared" si="12"/>
        <v>#DIV/0!</v>
      </c>
      <c r="H372" s="358">
        <f t="shared" si="13"/>
        <v>0</v>
      </c>
    </row>
    <row r="373" spans="2:8" ht="15">
      <c r="B373" s="421"/>
      <c r="C373" s="422"/>
      <c r="D373" s="392" t="s">
        <v>1124</v>
      </c>
      <c r="E373" s="370">
        <v>0</v>
      </c>
      <c r="F373" s="370">
        <v>0</v>
      </c>
      <c r="G373" s="357" t="e">
        <f t="shared" si="12"/>
        <v>#DIV/0!</v>
      </c>
      <c r="H373" s="358">
        <f t="shared" si="13"/>
        <v>0</v>
      </c>
    </row>
    <row r="374" spans="2:8" ht="15">
      <c r="B374" s="421"/>
      <c r="C374" s="422"/>
      <c r="D374" s="392" t="s">
        <v>1125</v>
      </c>
      <c r="E374" s="370">
        <v>0</v>
      </c>
      <c r="F374" s="370">
        <v>0</v>
      </c>
      <c r="G374" s="357" t="e">
        <f t="shared" si="12"/>
        <v>#DIV/0!</v>
      </c>
      <c r="H374" s="358">
        <f t="shared" si="13"/>
        <v>0</v>
      </c>
    </row>
    <row r="375" spans="2:8" ht="15">
      <c r="B375" s="352"/>
      <c r="C375" s="423">
        <v>5</v>
      </c>
      <c r="D375" s="424" t="s">
        <v>98</v>
      </c>
      <c r="E375" s="425">
        <f>+E376+E379</f>
        <v>6860000</v>
      </c>
      <c r="F375" s="426">
        <f>+F376+F379</f>
        <v>0</v>
      </c>
      <c r="G375" s="357" t="e">
        <f t="shared" si="12"/>
        <v>#DIV/0!</v>
      </c>
      <c r="H375" s="358">
        <f t="shared" si="13"/>
        <v>6860000</v>
      </c>
    </row>
    <row r="376" spans="2:8" ht="15">
      <c r="B376" s="421"/>
      <c r="C376" s="382"/>
      <c r="D376" s="365" t="s">
        <v>272</v>
      </c>
      <c r="E376" s="366">
        <f>+E377+E378</f>
        <v>6860000</v>
      </c>
      <c r="F376" s="367">
        <f>+F377+F378</f>
        <v>0</v>
      </c>
      <c r="G376" s="357" t="e">
        <f t="shared" si="12"/>
        <v>#DIV/0!</v>
      </c>
      <c r="H376" s="358">
        <f t="shared" si="13"/>
        <v>6860000</v>
      </c>
    </row>
    <row r="377" spans="2:8" ht="15">
      <c r="B377" s="421"/>
      <c r="C377" s="422"/>
      <c r="D377" s="392" t="s">
        <v>1126</v>
      </c>
      <c r="E377" s="370">
        <v>6860000</v>
      </c>
      <c r="F377" s="370">
        <v>0</v>
      </c>
      <c r="G377" s="357" t="e">
        <f t="shared" si="12"/>
        <v>#DIV/0!</v>
      </c>
      <c r="H377" s="358">
        <f t="shared" si="13"/>
        <v>6860000</v>
      </c>
    </row>
    <row r="378" spans="2:8" ht="15">
      <c r="B378" s="421"/>
      <c r="C378" s="422"/>
      <c r="D378" s="392" t="s">
        <v>1127</v>
      </c>
      <c r="E378" s="370">
        <v>0</v>
      </c>
      <c r="F378" s="370">
        <v>0</v>
      </c>
      <c r="G378" s="357" t="e">
        <f t="shared" si="12"/>
        <v>#DIV/0!</v>
      </c>
      <c r="H378" s="358">
        <f t="shared" si="13"/>
        <v>0</v>
      </c>
    </row>
    <row r="379" spans="2:8" ht="15">
      <c r="B379" s="421"/>
      <c r="C379" s="382"/>
      <c r="D379" s="365" t="s">
        <v>1128</v>
      </c>
      <c r="E379" s="366">
        <f>+E380+E381</f>
        <v>0</v>
      </c>
      <c r="F379" s="367">
        <f>+F380+F381</f>
        <v>0</v>
      </c>
      <c r="G379" s="357" t="e">
        <f t="shared" si="12"/>
        <v>#DIV/0!</v>
      </c>
      <c r="H379" s="358">
        <f t="shared" si="13"/>
        <v>0</v>
      </c>
    </row>
    <row r="380" spans="2:8" ht="15">
      <c r="B380" s="421"/>
      <c r="C380" s="422"/>
      <c r="D380" s="392" t="s">
        <v>1129</v>
      </c>
      <c r="E380" s="370">
        <v>0</v>
      </c>
      <c r="F380" s="370">
        <v>0</v>
      </c>
      <c r="G380" s="357" t="e">
        <f t="shared" si="12"/>
        <v>#DIV/0!</v>
      </c>
      <c r="H380" s="358">
        <f t="shared" si="13"/>
        <v>0</v>
      </c>
    </row>
    <row r="381" spans="2:8" ht="15">
      <c r="B381" s="421"/>
      <c r="C381" s="422"/>
      <c r="D381" s="392" t="s">
        <v>1130</v>
      </c>
      <c r="E381" s="370">
        <v>0</v>
      </c>
      <c r="F381" s="370">
        <v>0</v>
      </c>
      <c r="G381" s="357" t="e">
        <f t="shared" si="12"/>
        <v>#DIV/0!</v>
      </c>
      <c r="H381" s="358">
        <f t="shared" si="13"/>
        <v>0</v>
      </c>
    </row>
    <row r="382" spans="2:8" ht="15">
      <c r="B382" s="352"/>
      <c r="C382" s="423">
        <v>6</v>
      </c>
      <c r="D382" s="424" t="s">
        <v>797</v>
      </c>
      <c r="E382" s="425"/>
      <c r="F382" s="426"/>
      <c r="G382" s="357" t="e">
        <f t="shared" si="12"/>
        <v>#DIV/0!</v>
      </c>
      <c r="H382" s="358">
        <f t="shared" si="13"/>
        <v>0</v>
      </c>
    </row>
    <row r="383" spans="2:8" ht="15">
      <c r="B383" s="352"/>
      <c r="C383" s="423">
        <v>7</v>
      </c>
      <c r="D383" s="424" t="s">
        <v>798</v>
      </c>
      <c r="E383" s="425"/>
      <c r="F383" s="426"/>
      <c r="G383" s="357" t="e">
        <f t="shared" si="12"/>
        <v>#DIV/0!</v>
      </c>
      <c r="H383" s="358">
        <f t="shared" si="13"/>
        <v>0</v>
      </c>
    </row>
    <row r="384" spans="2:8" ht="15">
      <c r="B384" s="352"/>
      <c r="C384" s="423">
        <v>8</v>
      </c>
      <c r="D384" s="424" t="s">
        <v>799</v>
      </c>
      <c r="E384" s="425">
        <f>+E385+E387+E389+E393+E395</f>
        <v>2138640000</v>
      </c>
      <c r="F384" s="426">
        <f>+F385+F387+F389+F393+F395</f>
        <v>0</v>
      </c>
      <c r="G384" s="357" t="e">
        <f t="shared" si="12"/>
        <v>#DIV/0!</v>
      </c>
      <c r="H384" s="358">
        <f t="shared" si="13"/>
        <v>2138640000</v>
      </c>
    </row>
    <row r="385" spans="2:8" ht="15">
      <c r="B385" s="385"/>
      <c r="C385" s="382"/>
      <c r="D385" s="365" t="s">
        <v>1131</v>
      </c>
      <c r="E385" s="366">
        <f>+E386</f>
        <v>2138640000</v>
      </c>
      <c r="F385" s="367">
        <f>+F386</f>
        <v>0</v>
      </c>
      <c r="G385" s="357" t="e">
        <f t="shared" si="12"/>
        <v>#DIV/0!</v>
      </c>
      <c r="H385" s="358">
        <f t="shared" si="13"/>
        <v>2138640000</v>
      </c>
    </row>
    <row r="386" spans="2:8" ht="15">
      <c r="B386" s="385"/>
      <c r="C386" s="386"/>
      <c r="D386" s="392" t="s">
        <v>1131</v>
      </c>
      <c r="E386" s="370">
        <v>2138640000</v>
      </c>
      <c r="F386" s="370">
        <v>0</v>
      </c>
      <c r="G386" s="357" t="e">
        <f t="shared" si="12"/>
        <v>#DIV/0!</v>
      </c>
      <c r="H386" s="358">
        <f t="shared" si="13"/>
        <v>2138640000</v>
      </c>
    </row>
    <row r="387" spans="2:8" ht="15">
      <c r="B387" s="385"/>
      <c r="C387" s="382"/>
      <c r="D387" s="365" t="s">
        <v>1132</v>
      </c>
      <c r="E387" s="366">
        <f>+E388</f>
        <v>0</v>
      </c>
      <c r="F387" s="367">
        <f>+F388</f>
        <v>0</v>
      </c>
      <c r="G387" s="357" t="e">
        <f t="shared" si="12"/>
        <v>#DIV/0!</v>
      </c>
      <c r="H387" s="358">
        <f t="shared" si="13"/>
        <v>0</v>
      </c>
    </row>
    <row r="388" spans="2:8" ht="15">
      <c r="B388" s="385"/>
      <c r="C388" s="386"/>
      <c r="D388" s="392" t="s">
        <v>1133</v>
      </c>
      <c r="E388" s="370">
        <v>0</v>
      </c>
      <c r="F388" s="370">
        <v>0</v>
      </c>
      <c r="G388" s="357" t="e">
        <f t="shared" si="12"/>
        <v>#DIV/0!</v>
      </c>
      <c r="H388" s="358">
        <f t="shared" si="13"/>
        <v>0</v>
      </c>
    </row>
    <row r="389" spans="2:8" ht="15">
      <c r="B389" s="385"/>
      <c r="C389" s="382"/>
      <c r="D389" s="365" t="s">
        <v>1134</v>
      </c>
      <c r="E389" s="366">
        <f>+E390+E391+E392</f>
        <v>0</v>
      </c>
      <c r="F389" s="367">
        <f>+F390+F391+F392</f>
        <v>0</v>
      </c>
      <c r="G389" s="357" t="e">
        <f t="shared" si="12"/>
        <v>#DIV/0!</v>
      </c>
      <c r="H389" s="358">
        <f t="shared" si="13"/>
        <v>0</v>
      </c>
    </row>
    <row r="390" spans="2:8" ht="15">
      <c r="B390" s="385"/>
      <c r="C390" s="386"/>
      <c r="D390" s="392" t="s">
        <v>1135</v>
      </c>
      <c r="E390" s="370">
        <v>0</v>
      </c>
      <c r="F390" s="370">
        <v>0</v>
      </c>
      <c r="G390" s="357" t="e">
        <f t="shared" si="12"/>
        <v>#DIV/0!</v>
      </c>
      <c r="H390" s="358">
        <f t="shared" si="13"/>
        <v>0</v>
      </c>
    </row>
    <row r="391" spans="2:8" ht="15">
      <c r="B391" s="385"/>
      <c r="C391" s="386"/>
      <c r="D391" s="392" t="s">
        <v>1136</v>
      </c>
      <c r="E391" s="370">
        <v>0</v>
      </c>
      <c r="F391" s="370">
        <v>0</v>
      </c>
      <c r="G391" s="357" t="e">
        <f t="shared" si="12"/>
        <v>#DIV/0!</v>
      </c>
      <c r="H391" s="358">
        <f t="shared" si="13"/>
        <v>0</v>
      </c>
    </row>
    <row r="392" spans="2:8" ht="15">
      <c r="B392" s="421"/>
      <c r="C392" s="422"/>
      <c r="D392" s="392" t="s">
        <v>1137</v>
      </c>
      <c r="E392" s="370">
        <v>0</v>
      </c>
      <c r="F392" s="370">
        <v>0</v>
      </c>
      <c r="G392" s="357" t="e">
        <f t="shared" si="12"/>
        <v>#DIV/0!</v>
      </c>
      <c r="H392" s="358">
        <f t="shared" si="13"/>
        <v>0</v>
      </c>
    </row>
    <row r="393" spans="2:8" ht="15">
      <c r="B393" s="421"/>
      <c r="C393" s="382"/>
      <c r="D393" s="365" t="s">
        <v>1138</v>
      </c>
      <c r="E393" s="366">
        <f>+E394</f>
        <v>0</v>
      </c>
      <c r="F393" s="367">
        <f>+F394</f>
        <v>0</v>
      </c>
      <c r="G393" s="357" t="e">
        <f t="shared" si="12"/>
        <v>#DIV/0!</v>
      </c>
      <c r="H393" s="358">
        <f t="shared" si="13"/>
        <v>0</v>
      </c>
    </row>
    <row r="394" spans="2:8" ht="15">
      <c r="B394" s="421"/>
      <c r="C394" s="422"/>
      <c r="D394" s="392" t="s">
        <v>1139</v>
      </c>
      <c r="E394" s="370">
        <v>0</v>
      </c>
      <c r="F394" s="370">
        <v>0</v>
      </c>
      <c r="G394" s="357" t="e">
        <f t="shared" si="12"/>
        <v>#DIV/0!</v>
      </c>
      <c r="H394" s="358">
        <f t="shared" si="13"/>
        <v>0</v>
      </c>
    </row>
    <row r="395" spans="2:8" ht="15">
      <c r="B395" s="421"/>
      <c r="C395" s="382"/>
      <c r="D395" s="365" t="s">
        <v>1140</v>
      </c>
      <c r="E395" s="366">
        <f>+E396+E397+E398</f>
        <v>0</v>
      </c>
      <c r="F395" s="367">
        <f>+F396+F397+F398</f>
        <v>0</v>
      </c>
      <c r="G395" s="357" t="e">
        <f t="shared" si="12"/>
        <v>#DIV/0!</v>
      </c>
      <c r="H395" s="358">
        <f t="shared" si="13"/>
        <v>0</v>
      </c>
    </row>
    <row r="396" spans="2:8" ht="15">
      <c r="B396" s="421"/>
      <c r="C396" s="422"/>
      <c r="D396" s="392" t="s">
        <v>1141</v>
      </c>
      <c r="E396" s="370">
        <v>0</v>
      </c>
      <c r="F396" s="370">
        <v>0</v>
      </c>
      <c r="G396" s="357" t="e">
        <f t="shared" si="12"/>
        <v>#DIV/0!</v>
      </c>
      <c r="H396" s="358">
        <f t="shared" si="13"/>
        <v>0</v>
      </c>
    </row>
    <row r="397" spans="2:8" ht="15">
      <c r="B397" s="421"/>
      <c r="C397" s="422"/>
      <c r="D397" s="392" t="s">
        <v>1142</v>
      </c>
      <c r="E397" s="370">
        <v>0</v>
      </c>
      <c r="F397" s="370">
        <v>0</v>
      </c>
      <c r="G397" s="357" t="e">
        <f t="shared" si="12"/>
        <v>#DIV/0!</v>
      </c>
      <c r="H397" s="358">
        <f t="shared" si="13"/>
        <v>0</v>
      </c>
    </row>
    <row r="398" spans="2:8" ht="15">
      <c r="B398" s="421"/>
      <c r="C398" s="422"/>
      <c r="D398" s="392" t="s">
        <v>1143</v>
      </c>
      <c r="E398" s="370">
        <v>0</v>
      </c>
      <c r="F398" s="370">
        <v>0</v>
      </c>
      <c r="G398" s="357" t="e">
        <f t="shared" si="12"/>
        <v>#DIV/0!</v>
      </c>
      <c r="H398" s="358">
        <f t="shared" si="13"/>
        <v>0</v>
      </c>
    </row>
    <row r="399" spans="2:8" ht="15">
      <c r="B399" s="352"/>
      <c r="C399" s="423">
        <v>9</v>
      </c>
      <c r="D399" s="424" t="s">
        <v>49</v>
      </c>
      <c r="E399" s="425">
        <f>+E400+E403</f>
        <v>0</v>
      </c>
      <c r="F399" s="426">
        <f>+F400+F403</f>
        <v>0</v>
      </c>
      <c r="G399" s="357" t="e">
        <f t="shared" si="12"/>
        <v>#DIV/0!</v>
      </c>
      <c r="H399" s="358">
        <f t="shared" si="13"/>
        <v>0</v>
      </c>
    </row>
    <row r="400" spans="2:8" ht="15">
      <c r="B400" s="421"/>
      <c r="C400" s="382"/>
      <c r="D400" s="365" t="s">
        <v>1144</v>
      </c>
      <c r="E400" s="366">
        <f>+E401+E402</f>
        <v>0</v>
      </c>
      <c r="F400" s="367">
        <f>+F401+F402</f>
        <v>0</v>
      </c>
      <c r="G400" s="357" t="e">
        <f t="shared" si="12"/>
        <v>#DIV/0!</v>
      </c>
      <c r="H400" s="358">
        <f t="shared" si="13"/>
        <v>0</v>
      </c>
    </row>
    <row r="401" spans="2:8" ht="15">
      <c r="B401" s="421"/>
      <c r="C401" s="422"/>
      <c r="D401" s="392" t="s">
        <v>1145</v>
      </c>
      <c r="E401" s="370">
        <v>0</v>
      </c>
      <c r="F401" s="370">
        <v>0</v>
      </c>
      <c r="G401" s="357" t="e">
        <f t="shared" si="12"/>
        <v>#DIV/0!</v>
      </c>
      <c r="H401" s="358">
        <f t="shared" si="13"/>
        <v>0</v>
      </c>
    </row>
    <row r="402" spans="2:8" ht="15">
      <c r="B402" s="421"/>
      <c r="C402" s="422"/>
      <c r="D402" s="392" t="s">
        <v>1146</v>
      </c>
      <c r="E402" s="370">
        <v>0</v>
      </c>
      <c r="F402" s="370">
        <v>0</v>
      </c>
      <c r="G402" s="357" t="e">
        <f t="shared" si="12"/>
        <v>#DIV/0!</v>
      </c>
      <c r="H402" s="358">
        <f t="shared" si="13"/>
        <v>0</v>
      </c>
    </row>
    <row r="403" spans="2:8" ht="15">
      <c r="B403" s="421"/>
      <c r="C403" s="382"/>
      <c r="D403" s="365" t="s">
        <v>1147</v>
      </c>
      <c r="E403" s="366">
        <f>+E404</f>
        <v>0</v>
      </c>
      <c r="F403" s="367">
        <f>+F404</f>
        <v>0</v>
      </c>
      <c r="G403" s="357" t="e">
        <f t="shared" si="12"/>
        <v>#DIV/0!</v>
      </c>
      <c r="H403" s="358">
        <f t="shared" si="13"/>
        <v>0</v>
      </c>
    </row>
    <row r="404" spans="2:8" ht="15">
      <c r="B404" s="421"/>
      <c r="C404" s="422"/>
      <c r="D404" s="392" t="s">
        <v>1148</v>
      </c>
      <c r="E404" s="370">
        <v>0</v>
      </c>
      <c r="F404" s="370">
        <v>0</v>
      </c>
      <c r="G404" s="357" t="e">
        <f t="shared" si="12"/>
        <v>#DIV/0!</v>
      </c>
      <c r="H404" s="358">
        <f t="shared" si="13"/>
        <v>0</v>
      </c>
    </row>
    <row r="405" spans="2:8" ht="15">
      <c r="B405" s="959">
        <v>10</v>
      </c>
      <c r="C405" s="960"/>
      <c r="D405" s="424" t="s">
        <v>1149</v>
      </c>
      <c r="E405" s="425">
        <f>+E406+E407+E408+E409</f>
        <v>361981624</v>
      </c>
      <c r="F405" s="426">
        <f>+F406+F407+F408+F409</f>
        <v>0</v>
      </c>
      <c r="G405" s="357" t="e">
        <f t="shared" si="12"/>
        <v>#DIV/0!</v>
      </c>
      <c r="H405" s="358">
        <f t="shared" si="13"/>
        <v>361981624</v>
      </c>
    </row>
    <row r="406" spans="2:8" ht="15">
      <c r="B406" s="385"/>
      <c r="C406" s="386"/>
      <c r="D406" s="369" t="s">
        <v>1150</v>
      </c>
      <c r="E406" s="370">
        <v>361981624</v>
      </c>
      <c r="F406" s="370">
        <v>0</v>
      </c>
      <c r="G406" s="357" t="e">
        <f t="shared" si="12"/>
        <v>#DIV/0!</v>
      </c>
      <c r="H406" s="358">
        <f t="shared" si="13"/>
        <v>361981624</v>
      </c>
    </row>
    <row r="407" spans="2:8" ht="15">
      <c r="B407" s="385"/>
      <c r="C407" s="386"/>
      <c r="D407" s="369" t="s">
        <v>1151</v>
      </c>
      <c r="E407" s="370">
        <v>0</v>
      </c>
      <c r="F407" s="370">
        <v>0</v>
      </c>
      <c r="G407" s="357" t="e">
        <f t="shared" si="12"/>
        <v>#DIV/0!</v>
      </c>
      <c r="H407" s="358">
        <f t="shared" si="13"/>
        <v>0</v>
      </c>
    </row>
    <row r="408" spans="2:8" ht="15">
      <c r="B408" s="385"/>
      <c r="C408" s="386"/>
      <c r="D408" s="369" t="s">
        <v>1152</v>
      </c>
      <c r="E408" s="370">
        <v>0</v>
      </c>
      <c r="F408" s="370">
        <v>0</v>
      </c>
      <c r="G408" s="357" t="e">
        <f t="shared" si="12"/>
        <v>#DIV/0!</v>
      </c>
      <c r="H408" s="358">
        <f t="shared" si="13"/>
        <v>0</v>
      </c>
    </row>
    <row r="409" spans="2:8" ht="15">
      <c r="B409" s="385"/>
      <c r="C409" s="386"/>
      <c r="D409" s="369" t="s">
        <v>1153</v>
      </c>
      <c r="E409" s="370">
        <v>0</v>
      </c>
      <c r="F409" s="370">
        <v>0</v>
      </c>
      <c r="G409" s="357" t="e">
        <f aca="true" t="shared" si="14" ref="G409:G445">(E409-F409)/F409*100</f>
        <v>#DIV/0!</v>
      </c>
      <c r="H409" s="358">
        <f aca="true" t="shared" si="15" ref="H409:H445">E409-F409</f>
        <v>0</v>
      </c>
    </row>
    <row r="410" spans="2:8" ht="15">
      <c r="B410" s="959">
        <v>11</v>
      </c>
      <c r="C410" s="960"/>
      <c r="D410" s="424" t="s">
        <v>800</v>
      </c>
      <c r="E410" s="428">
        <f>+E411+E413+E415+E420</f>
        <v>0</v>
      </c>
      <c r="F410" s="429">
        <f>+F411+F413+F415+F420</f>
        <v>0</v>
      </c>
      <c r="G410" s="357" t="e">
        <f t="shared" si="14"/>
        <v>#DIV/0!</v>
      </c>
      <c r="H410" s="358">
        <f t="shared" si="15"/>
        <v>0</v>
      </c>
    </row>
    <row r="411" spans="2:8" ht="15">
      <c r="B411" s="421"/>
      <c r="C411" s="382"/>
      <c r="D411" s="365" t="s">
        <v>1154</v>
      </c>
      <c r="E411" s="366">
        <f>+E412</f>
        <v>0</v>
      </c>
      <c r="F411" s="367">
        <f>+F412</f>
        <v>0</v>
      </c>
      <c r="G411" s="357" t="e">
        <f t="shared" si="14"/>
        <v>#DIV/0!</v>
      </c>
      <c r="H411" s="358">
        <f t="shared" si="15"/>
        <v>0</v>
      </c>
    </row>
    <row r="412" spans="2:8" ht="15">
      <c r="B412" s="363"/>
      <c r="C412" s="368"/>
      <c r="D412" s="392" t="s">
        <v>1154</v>
      </c>
      <c r="E412" s="370">
        <v>0</v>
      </c>
      <c r="F412" s="370">
        <v>0</v>
      </c>
      <c r="G412" s="357" t="e">
        <f t="shared" si="14"/>
        <v>#DIV/0!</v>
      </c>
      <c r="H412" s="358">
        <f t="shared" si="15"/>
        <v>0</v>
      </c>
    </row>
    <row r="413" spans="2:8" ht="15">
      <c r="B413" s="421"/>
      <c r="C413" s="382"/>
      <c r="D413" s="365" t="s">
        <v>1155</v>
      </c>
      <c r="E413" s="366">
        <f>+E414</f>
        <v>0</v>
      </c>
      <c r="F413" s="367">
        <f>+F414</f>
        <v>0</v>
      </c>
      <c r="G413" s="357" t="e">
        <f t="shared" si="14"/>
        <v>#DIV/0!</v>
      </c>
      <c r="H413" s="358">
        <f t="shared" si="15"/>
        <v>0</v>
      </c>
    </row>
    <row r="414" spans="2:8" ht="15">
      <c r="B414" s="420"/>
      <c r="C414" s="430"/>
      <c r="D414" s="392" t="s">
        <v>1156</v>
      </c>
      <c r="E414" s="370">
        <v>0</v>
      </c>
      <c r="F414" s="370">
        <v>0</v>
      </c>
      <c r="G414" s="357" t="e">
        <f t="shared" si="14"/>
        <v>#DIV/0!</v>
      </c>
      <c r="H414" s="358">
        <f t="shared" si="15"/>
        <v>0</v>
      </c>
    </row>
    <row r="415" spans="2:8" ht="15">
      <c r="B415" s="421"/>
      <c r="C415" s="382"/>
      <c r="D415" s="365" t="s">
        <v>1157</v>
      </c>
      <c r="E415" s="366">
        <f>+E416+E417+E418+E419</f>
        <v>0</v>
      </c>
      <c r="F415" s="367">
        <f>+F416+F417+F418+F419</f>
        <v>0</v>
      </c>
      <c r="G415" s="357" t="e">
        <f t="shared" si="14"/>
        <v>#DIV/0!</v>
      </c>
      <c r="H415" s="358">
        <f t="shared" si="15"/>
        <v>0</v>
      </c>
    </row>
    <row r="416" spans="2:8" ht="15">
      <c r="B416" s="421"/>
      <c r="C416" s="422"/>
      <c r="D416" s="392" t="s">
        <v>1158</v>
      </c>
      <c r="E416" s="370">
        <v>0</v>
      </c>
      <c r="F416" s="370">
        <v>0</v>
      </c>
      <c r="G416" s="357" t="e">
        <f t="shared" si="14"/>
        <v>#DIV/0!</v>
      </c>
      <c r="H416" s="358">
        <f t="shared" si="15"/>
        <v>0</v>
      </c>
    </row>
    <row r="417" spans="2:8" ht="15">
      <c r="B417" s="421"/>
      <c r="C417" s="422"/>
      <c r="D417" s="392" t="s">
        <v>1159</v>
      </c>
      <c r="E417" s="370">
        <v>0</v>
      </c>
      <c r="F417" s="370">
        <v>0</v>
      </c>
      <c r="G417" s="357" t="e">
        <f t="shared" si="14"/>
        <v>#DIV/0!</v>
      </c>
      <c r="H417" s="358">
        <f t="shared" si="15"/>
        <v>0</v>
      </c>
    </row>
    <row r="418" spans="2:8" ht="15">
      <c r="B418" s="420"/>
      <c r="C418" s="430"/>
      <c r="D418" s="392" t="s">
        <v>1160</v>
      </c>
      <c r="E418" s="370">
        <v>0</v>
      </c>
      <c r="F418" s="370">
        <v>0</v>
      </c>
      <c r="G418" s="357" t="e">
        <f t="shared" si="14"/>
        <v>#DIV/0!</v>
      </c>
      <c r="H418" s="358">
        <f t="shared" si="15"/>
        <v>0</v>
      </c>
    </row>
    <row r="419" spans="2:8" ht="15">
      <c r="B419" s="421"/>
      <c r="C419" s="422"/>
      <c r="D419" s="392" t="s">
        <v>1161</v>
      </c>
      <c r="E419" s="370">
        <v>0</v>
      </c>
      <c r="F419" s="370">
        <v>0</v>
      </c>
      <c r="G419" s="357" t="e">
        <f t="shared" si="14"/>
        <v>#DIV/0!</v>
      </c>
      <c r="H419" s="358">
        <f t="shared" si="15"/>
        <v>0</v>
      </c>
    </row>
    <row r="420" spans="2:8" ht="15">
      <c r="B420" s="363"/>
      <c r="C420" s="382"/>
      <c r="D420" s="365" t="s">
        <v>1162</v>
      </c>
      <c r="E420" s="366">
        <f>+E421+E422+E423+E424+E425+E426+E427+E428+E429+E430</f>
        <v>0</v>
      </c>
      <c r="F420" s="367">
        <f>+F421+F422+F423+F424+F425+F426+F427+F428+F429+F430</f>
        <v>0</v>
      </c>
      <c r="G420" s="357" t="e">
        <f t="shared" si="14"/>
        <v>#DIV/0!</v>
      </c>
      <c r="H420" s="358">
        <f t="shared" si="15"/>
        <v>0</v>
      </c>
    </row>
    <row r="421" spans="2:8" ht="15">
      <c r="B421" s="385"/>
      <c r="C421" s="386"/>
      <c r="D421" s="392" t="s">
        <v>1163</v>
      </c>
      <c r="E421" s="370">
        <v>0</v>
      </c>
      <c r="F421" s="370">
        <v>0</v>
      </c>
      <c r="G421" s="357" t="e">
        <f t="shared" si="14"/>
        <v>#DIV/0!</v>
      </c>
      <c r="H421" s="358">
        <f t="shared" si="15"/>
        <v>0</v>
      </c>
    </row>
    <row r="422" spans="2:8" ht="15">
      <c r="B422" s="420"/>
      <c r="C422" s="430"/>
      <c r="D422" s="392" t="s">
        <v>1164</v>
      </c>
      <c r="E422" s="370">
        <v>0</v>
      </c>
      <c r="F422" s="370">
        <v>0</v>
      </c>
      <c r="G422" s="357" t="e">
        <f t="shared" si="14"/>
        <v>#DIV/0!</v>
      </c>
      <c r="H422" s="358">
        <f t="shared" si="15"/>
        <v>0</v>
      </c>
    </row>
    <row r="423" spans="2:8" ht="15">
      <c r="B423" s="421"/>
      <c r="C423" s="422"/>
      <c r="D423" s="392" t="s">
        <v>1165</v>
      </c>
      <c r="E423" s="370">
        <v>0</v>
      </c>
      <c r="F423" s="370">
        <v>0</v>
      </c>
      <c r="G423" s="357" t="e">
        <f t="shared" si="14"/>
        <v>#DIV/0!</v>
      </c>
      <c r="H423" s="358">
        <f t="shared" si="15"/>
        <v>0</v>
      </c>
    </row>
    <row r="424" spans="2:8" ht="15">
      <c r="B424" s="420"/>
      <c r="C424" s="430"/>
      <c r="D424" s="392" t="s">
        <v>1166</v>
      </c>
      <c r="E424" s="370">
        <v>0</v>
      </c>
      <c r="F424" s="370">
        <v>0</v>
      </c>
      <c r="G424" s="357" t="e">
        <f t="shared" si="14"/>
        <v>#DIV/0!</v>
      </c>
      <c r="H424" s="358">
        <f t="shared" si="15"/>
        <v>0</v>
      </c>
    </row>
    <row r="425" spans="2:8" ht="15">
      <c r="B425" s="385"/>
      <c r="C425" s="386"/>
      <c r="D425" s="392" t="s">
        <v>1167</v>
      </c>
      <c r="E425" s="370">
        <v>0</v>
      </c>
      <c r="F425" s="370">
        <v>0</v>
      </c>
      <c r="G425" s="357" t="e">
        <f t="shared" si="14"/>
        <v>#DIV/0!</v>
      </c>
      <c r="H425" s="358">
        <f t="shared" si="15"/>
        <v>0</v>
      </c>
    </row>
    <row r="426" spans="2:8" ht="15">
      <c r="B426" s="421"/>
      <c r="C426" s="422"/>
      <c r="D426" s="392" t="s">
        <v>1168</v>
      </c>
      <c r="E426" s="370">
        <v>0</v>
      </c>
      <c r="F426" s="370">
        <v>0</v>
      </c>
      <c r="G426" s="357" t="e">
        <f t="shared" si="14"/>
        <v>#DIV/0!</v>
      </c>
      <c r="H426" s="358">
        <f t="shared" si="15"/>
        <v>0</v>
      </c>
    </row>
    <row r="427" spans="2:8" ht="15">
      <c r="B427" s="385"/>
      <c r="C427" s="386"/>
      <c r="D427" s="392" t="s">
        <v>1169</v>
      </c>
      <c r="E427" s="370">
        <v>0</v>
      </c>
      <c r="F427" s="370">
        <v>0</v>
      </c>
      <c r="G427" s="357" t="e">
        <f t="shared" si="14"/>
        <v>#DIV/0!</v>
      </c>
      <c r="H427" s="358">
        <f t="shared" si="15"/>
        <v>0</v>
      </c>
    </row>
    <row r="428" spans="2:8" ht="15">
      <c r="B428" s="421"/>
      <c r="C428" s="422"/>
      <c r="D428" s="392" t="s">
        <v>1170</v>
      </c>
      <c r="E428" s="370">
        <v>0</v>
      </c>
      <c r="F428" s="370">
        <v>0</v>
      </c>
      <c r="G428" s="357" t="e">
        <f t="shared" si="14"/>
        <v>#DIV/0!</v>
      </c>
      <c r="H428" s="358">
        <f t="shared" si="15"/>
        <v>0</v>
      </c>
    </row>
    <row r="429" spans="2:8" ht="15">
      <c r="B429" s="363"/>
      <c r="C429" s="368"/>
      <c r="D429" s="392" t="s">
        <v>1171</v>
      </c>
      <c r="E429" s="370">
        <v>0</v>
      </c>
      <c r="F429" s="370">
        <v>0</v>
      </c>
      <c r="G429" s="357" t="e">
        <f t="shared" si="14"/>
        <v>#DIV/0!</v>
      </c>
      <c r="H429" s="358">
        <f t="shared" si="15"/>
        <v>0</v>
      </c>
    </row>
    <row r="430" spans="2:8" ht="15">
      <c r="B430" s="421"/>
      <c r="C430" s="422"/>
      <c r="D430" s="392" t="s">
        <v>1172</v>
      </c>
      <c r="E430" s="370">
        <v>0</v>
      </c>
      <c r="F430" s="370">
        <v>0</v>
      </c>
      <c r="G430" s="357" t="e">
        <f t="shared" si="14"/>
        <v>#DIV/0!</v>
      </c>
      <c r="H430" s="358">
        <f t="shared" si="15"/>
        <v>0</v>
      </c>
    </row>
    <row r="431" spans="2:8" ht="15">
      <c r="B431" s="959">
        <v>12</v>
      </c>
      <c r="C431" s="960"/>
      <c r="D431" s="424" t="s">
        <v>801</v>
      </c>
      <c r="E431" s="425">
        <f>+E432+E433</f>
        <v>0</v>
      </c>
      <c r="F431" s="425">
        <f>+F432+F433</f>
        <v>0</v>
      </c>
      <c r="G431" s="357" t="e">
        <f>(E431-F431)/F431*100</f>
        <v>#DIV/0!</v>
      </c>
      <c r="H431" s="358">
        <f>E431-F431</f>
        <v>0</v>
      </c>
    </row>
    <row r="432" spans="2:8" ht="15">
      <c r="B432" s="421"/>
      <c r="C432" s="422"/>
      <c r="D432" s="392" t="s">
        <v>1173</v>
      </c>
      <c r="E432" s="370">
        <v>0</v>
      </c>
      <c r="F432" s="370">
        <v>0</v>
      </c>
      <c r="G432" s="357" t="e">
        <f t="shared" si="14"/>
        <v>#DIV/0!</v>
      </c>
      <c r="H432" s="358">
        <f t="shared" si="15"/>
        <v>0</v>
      </c>
    </row>
    <row r="433" spans="2:8" ht="15">
      <c r="B433" s="421"/>
      <c r="C433" s="422"/>
      <c r="D433" s="593" t="s">
        <v>496</v>
      </c>
      <c r="E433" s="370">
        <v>0</v>
      </c>
      <c r="F433" s="370">
        <v>0</v>
      </c>
      <c r="G433" s="596" t="e">
        <f t="shared" si="14"/>
        <v>#DIV/0!</v>
      </c>
      <c r="H433" s="597">
        <f t="shared" si="15"/>
        <v>0</v>
      </c>
    </row>
    <row r="434" spans="2:8" ht="15">
      <c r="B434" s="421"/>
      <c r="C434" s="422"/>
      <c r="D434" s="593"/>
      <c r="E434" s="594"/>
      <c r="F434" s="595"/>
      <c r="G434" s="596"/>
      <c r="H434" s="597"/>
    </row>
    <row r="435" spans="2:8" ht="15">
      <c r="B435" s="959">
        <v>13</v>
      </c>
      <c r="C435" s="960"/>
      <c r="D435" s="424" t="s">
        <v>1607</v>
      </c>
      <c r="E435" s="425">
        <f>E6-E154</f>
        <v>-5195079483</v>
      </c>
      <c r="F435" s="426">
        <f>F6-F154</f>
        <v>0</v>
      </c>
      <c r="G435" s="357" t="e">
        <f t="shared" si="14"/>
        <v>#DIV/0!</v>
      </c>
      <c r="H435" s="358">
        <f t="shared" si="15"/>
        <v>-5195079483</v>
      </c>
    </row>
    <row r="436" spans="2:8" ht="15">
      <c r="B436" s="598"/>
      <c r="C436" s="423">
        <v>4</v>
      </c>
      <c r="D436" s="603" t="s">
        <v>1649</v>
      </c>
      <c r="E436" s="600">
        <f>SUM(E437:E441)</f>
        <v>0</v>
      </c>
      <c r="F436" s="600">
        <f>SUM(F437:F441)</f>
        <v>0</v>
      </c>
      <c r="G436" s="604" t="e">
        <f t="shared" si="14"/>
        <v>#DIV/0!</v>
      </c>
      <c r="H436" s="605">
        <f t="shared" si="15"/>
        <v>0</v>
      </c>
    </row>
    <row r="437" spans="3:8" ht="15">
      <c r="C437" s="601"/>
      <c r="D437" s="599" t="s">
        <v>1645</v>
      </c>
      <c r="E437" s="370">
        <v>0</v>
      </c>
      <c r="F437" s="370">
        <v>0</v>
      </c>
      <c r="G437" s="357" t="e">
        <f t="shared" si="14"/>
        <v>#DIV/0!</v>
      </c>
      <c r="H437" s="358">
        <f t="shared" si="15"/>
        <v>0</v>
      </c>
    </row>
    <row r="438" spans="3:8" ht="15">
      <c r="C438" s="601"/>
      <c r="D438" s="599" t="s">
        <v>1646</v>
      </c>
      <c r="E438" s="370">
        <v>0</v>
      </c>
      <c r="F438" s="370">
        <v>0</v>
      </c>
      <c r="G438" s="357" t="e">
        <f t="shared" si="14"/>
        <v>#DIV/0!</v>
      </c>
      <c r="H438" s="358">
        <f t="shared" si="15"/>
        <v>0</v>
      </c>
    </row>
    <row r="439" spans="3:8" ht="15">
      <c r="C439" s="601"/>
      <c r="D439" s="599" t="s">
        <v>1647</v>
      </c>
      <c r="E439" s="370">
        <v>0</v>
      </c>
      <c r="F439" s="370">
        <v>0</v>
      </c>
      <c r="G439" s="357" t="e">
        <f t="shared" si="14"/>
        <v>#DIV/0!</v>
      </c>
      <c r="H439" s="358">
        <f t="shared" si="15"/>
        <v>0</v>
      </c>
    </row>
    <row r="440" spans="3:8" ht="15">
      <c r="C440" s="601"/>
      <c r="D440" s="599" t="s">
        <v>1648</v>
      </c>
      <c r="E440" s="370">
        <v>0</v>
      </c>
      <c r="F440" s="370">
        <v>0</v>
      </c>
      <c r="G440" s="357" t="e">
        <f t="shared" si="14"/>
        <v>#DIV/0!</v>
      </c>
      <c r="H440" s="358">
        <f t="shared" si="15"/>
        <v>0</v>
      </c>
    </row>
    <row r="441" spans="3:8" ht="15">
      <c r="C441" s="601"/>
      <c r="D441" s="599" t="s">
        <v>205</v>
      </c>
      <c r="E441" s="370">
        <v>0</v>
      </c>
      <c r="F441" s="370">
        <v>0</v>
      </c>
      <c r="G441" s="357" t="e">
        <f t="shared" si="14"/>
        <v>#DIV/0!</v>
      </c>
      <c r="H441" s="358">
        <f t="shared" si="15"/>
        <v>0</v>
      </c>
    </row>
    <row r="442" spans="3:8" ht="15">
      <c r="C442" s="601">
        <v>5</v>
      </c>
      <c r="D442" s="603" t="s">
        <v>102</v>
      </c>
      <c r="E442" s="602">
        <f>E443-E444</f>
        <v>0</v>
      </c>
      <c r="F442" s="602">
        <f>F443-F444</f>
        <v>0</v>
      </c>
      <c r="G442" s="604" t="e">
        <f t="shared" si="14"/>
        <v>#DIV/0!</v>
      </c>
      <c r="H442" s="605">
        <f t="shared" si="15"/>
        <v>0</v>
      </c>
    </row>
    <row r="443" spans="3:8" ht="15">
      <c r="C443" s="601"/>
      <c r="D443" s="599" t="s">
        <v>1650</v>
      </c>
      <c r="E443" s="370">
        <v>0</v>
      </c>
      <c r="F443" s="370">
        <v>0</v>
      </c>
      <c r="G443" s="357" t="e">
        <f t="shared" si="14"/>
        <v>#DIV/0!</v>
      </c>
      <c r="H443" s="358">
        <f t="shared" si="15"/>
        <v>0</v>
      </c>
    </row>
    <row r="444" spans="3:8" ht="15">
      <c r="C444" s="601"/>
      <c r="D444" s="599" t="s">
        <v>1651</v>
      </c>
      <c r="E444" s="370">
        <v>0</v>
      </c>
      <c r="F444" s="370">
        <v>0</v>
      </c>
      <c r="G444" s="357" t="e">
        <f t="shared" si="14"/>
        <v>#DIV/0!</v>
      </c>
      <c r="H444" s="358">
        <f t="shared" si="15"/>
        <v>0</v>
      </c>
    </row>
    <row r="445" spans="3:8" ht="15">
      <c r="C445" s="601">
        <v>6</v>
      </c>
      <c r="D445" s="603" t="s">
        <v>1652</v>
      </c>
      <c r="E445" s="602">
        <f>E435+E436+E442</f>
        <v>-5195079483</v>
      </c>
      <c r="F445" s="602">
        <f>F435+F436+F442</f>
        <v>0</v>
      </c>
      <c r="G445" s="604" t="e">
        <f t="shared" si="14"/>
        <v>#DIV/0!</v>
      </c>
      <c r="H445" s="605">
        <f t="shared" si="15"/>
        <v>-5195079483</v>
      </c>
    </row>
  </sheetData>
  <sheetProtection/>
  <mergeCells count="11">
    <mergeCell ref="C5:D5"/>
    <mergeCell ref="G3:H3"/>
    <mergeCell ref="F3:F4"/>
    <mergeCell ref="B410:C410"/>
    <mergeCell ref="B431:C431"/>
    <mergeCell ref="B435:C435"/>
    <mergeCell ref="B3:C4"/>
    <mergeCell ref="D3:D4"/>
    <mergeCell ref="E3:E4"/>
    <mergeCell ref="B153:D153"/>
    <mergeCell ref="B405:C405"/>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B1:G35"/>
  <sheetViews>
    <sheetView zoomScale="80" zoomScaleNormal="80" zoomScalePageLayoutView="0" workbookViewId="0" topLeftCell="A1">
      <selection activeCell="B22" sqref="B22"/>
    </sheetView>
  </sheetViews>
  <sheetFormatPr defaultColWidth="9.140625" defaultRowHeight="15"/>
  <cols>
    <col min="1" max="1" width="1.421875" style="122" customWidth="1"/>
    <col min="2" max="2" width="50.57421875" style="122" customWidth="1"/>
    <col min="3" max="4" width="23.57421875" style="122" customWidth="1"/>
    <col min="5" max="5" width="9.140625" style="122" customWidth="1"/>
    <col min="6" max="6" width="27.00390625" style="122" customWidth="1"/>
    <col min="7" max="7" width="12.28125" style="122" bestFit="1" customWidth="1"/>
    <col min="8" max="16384" width="9.140625" style="122" customWidth="1"/>
  </cols>
  <sheetData>
    <row r="1" spans="2:4" ht="15.75">
      <c r="B1" s="533"/>
      <c r="C1" s="533"/>
      <c r="D1" s="533"/>
    </row>
    <row r="2" spans="2:4" ht="15">
      <c r="B2" s="970" t="s">
        <v>1200</v>
      </c>
      <c r="C2" s="970"/>
      <c r="D2" s="970"/>
    </row>
    <row r="3" spans="2:4" ht="15">
      <c r="B3" s="971" t="s">
        <v>1201</v>
      </c>
      <c r="C3" s="971"/>
      <c r="D3" s="971"/>
    </row>
    <row r="4" spans="2:4" ht="15">
      <c r="B4" s="972" t="str">
        <f>"PER "&amp;'2.ISIAN DATA SKPD'!D10&amp;"  DAN TAHUN "&amp;'2.ISIAN DATA SKPD'!D12&amp;""</f>
        <v>PER 31 Desember 2017  DAN TAHUN 2016</v>
      </c>
      <c r="C4" s="972"/>
      <c r="D4" s="972"/>
    </row>
    <row r="5" spans="2:4" ht="16.5" thickBot="1">
      <c r="B5" s="533"/>
      <c r="C5" s="533"/>
      <c r="D5" s="534"/>
    </row>
    <row r="6" spans="2:4" ht="15.75" thickTop="1">
      <c r="B6" s="973" t="s">
        <v>256</v>
      </c>
      <c r="C6" s="973">
        <v>2017</v>
      </c>
      <c r="D6" s="973">
        <v>2016</v>
      </c>
    </row>
    <row r="7" spans="2:4" ht="15">
      <c r="B7" s="974"/>
      <c r="C7" s="974"/>
      <c r="D7" s="974"/>
    </row>
    <row r="8" spans="2:4" ht="15">
      <c r="B8" s="535"/>
      <c r="C8" s="536"/>
      <c r="D8" s="535"/>
    </row>
    <row r="9" spans="2:4" ht="15">
      <c r="B9" s="537" t="s">
        <v>105</v>
      </c>
      <c r="C9" s="538">
        <f>D24</f>
        <v>4261721512</v>
      </c>
      <c r="D9" s="620">
        <v>3110308920</v>
      </c>
    </row>
    <row r="10" spans="2:7" ht="15">
      <c r="B10" s="539" t="s">
        <v>1202</v>
      </c>
      <c r="C10" s="623">
        <v>-3469441315</v>
      </c>
      <c r="D10" s="621">
        <v>-5195079483</v>
      </c>
      <c r="F10" s="433"/>
      <c r="G10" s="540"/>
    </row>
    <row r="11" spans="2:4" ht="15">
      <c r="B11" s="541" t="s">
        <v>1203</v>
      </c>
      <c r="C11" s="624">
        <v>9328342379</v>
      </c>
      <c r="D11" s="622">
        <v>0</v>
      </c>
    </row>
    <row r="12" spans="2:5" ht="35.25" customHeight="1">
      <c r="B12" s="542" t="s">
        <v>1204</v>
      </c>
      <c r="C12" s="543">
        <f>SUM(C13:C23)</f>
        <v>-3751119064</v>
      </c>
      <c r="D12" s="543">
        <f>SUM(D13:D23)</f>
        <v>6346492075</v>
      </c>
      <c r="E12" s="444"/>
    </row>
    <row r="13" spans="2:4" ht="15.75">
      <c r="B13" s="544" t="s">
        <v>1744</v>
      </c>
      <c r="C13" s="545">
        <v>0</v>
      </c>
      <c r="D13" s="546">
        <v>222000000</v>
      </c>
    </row>
    <row r="14" spans="2:4" ht="15.75">
      <c r="B14" s="544" t="s">
        <v>1205</v>
      </c>
      <c r="C14" s="545">
        <v>0</v>
      </c>
      <c r="D14" s="546">
        <v>0</v>
      </c>
    </row>
    <row r="15" spans="2:4" ht="15.75">
      <c r="B15" s="544" t="s">
        <v>1206</v>
      </c>
      <c r="C15" s="545">
        <v>0</v>
      </c>
      <c r="D15" s="546">
        <v>0</v>
      </c>
    </row>
    <row r="16" spans="2:4" ht="15.75">
      <c r="B16" s="544" t="s">
        <v>1745</v>
      </c>
      <c r="C16" s="843">
        <v>17000000</v>
      </c>
      <c r="D16" s="546">
        <v>0</v>
      </c>
    </row>
    <row r="17" spans="2:4" ht="15.75">
      <c r="B17" s="544" t="s">
        <v>1746</v>
      </c>
      <c r="C17" s="843">
        <v>173227500</v>
      </c>
      <c r="D17" s="546">
        <v>0</v>
      </c>
    </row>
    <row r="18" spans="2:4" ht="15.75">
      <c r="B18" s="544" t="s">
        <v>1747</v>
      </c>
      <c r="C18" s="843">
        <v>34000000</v>
      </c>
      <c r="D18" s="546">
        <v>0</v>
      </c>
    </row>
    <row r="19" spans="2:4" ht="15.75">
      <c r="B19" s="544" t="s">
        <v>1748</v>
      </c>
      <c r="C19" s="843">
        <v>-34000000</v>
      </c>
      <c r="D19" s="546">
        <v>0</v>
      </c>
    </row>
    <row r="20" spans="2:4" ht="15.75">
      <c r="B20" s="544" t="s">
        <v>1749</v>
      </c>
      <c r="C20" s="843">
        <v>-104100000</v>
      </c>
      <c r="D20" s="546">
        <v>0</v>
      </c>
    </row>
    <row r="21" spans="2:4" ht="15.75">
      <c r="B21" s="544" t="s">
        <v>1750</v>
      </c>
      <c r="C21" s="842">
        <v>104100000</v>
      </c>
      <c r="D21" s="546">
        <v>0</v>
      </c>
    </row>
    <row r="22" spans="2:4" ht="15.75">
      <c r="B22" s="544" t="s">
        <v>1751</v>
      </c>
      <c r="C22" s="843">
        <v>-3941346564</v>
      </c>
      <c r="D22" s="546">
        <v>0</v>
      </c>
    </row>
    <row r="23" spans="2:4" ht="15.75">
      <c r="B23" s="547" t="s">
        <v>1216</v>
      </c>
      <c r="C23" s="548">
        <v>0</v>
      </c>
      <c r="D23" s="549">
        <v>6124492075</v>
      </c>
    </row>
    <row r="24" spans="2:6" ht="24.75" customHeight="1" thickBot="1">
      <c r="B24" s="550" t="s">
        <v>107</v>
      </c>
      <c r="C24" s="551">
        <f>C9+C10+C11+C12</f>
        <v>6369503512</v>
      </c>
      <c r="D24" s="551">
        <f>D9+D10+D12</f>
        <v>4261721512</v>
      </c>
      <c r="F24" s="540"/>
    </row>
    <row r="25" spans="2:4" ht="16.5" thickTop="1">
      <c r="B25" s="533"/>
      <c r="C25" s="533"/>
      <c r="D25" s="533"/>
    </row>
    <row r="26" spans="2:4" s="552" customFormat="1" ht="15">
      <c r="B26" s="533"/>
      <c r="C26" s="533"/>
      <c r="D26" s="533"/>
    </row>
    <row r="27" spans="2:4" s="552" customFormat="1" ht="15">
      <c r="B27" s="553"/>
      <c r="C27" s="554"/>
      <c r="D27" s="554"/>
    </row>
    <row r="28" spans="2:4" s="552" customFormat="1" ht="15">
      <c r="B28" s="553"/>
      <c r="C28" s="555"/>
      <c r="D28" s="555"/>
    </row>
    <row r="29" spans="2:4" s="552" customFormat="1" ht="15">
      <c r="B29" s="553"/>
      <c r="C29" s="556"/>
      <c r="D29" s="556"/>
    </row>
    <row r="30" spans="2:4" s="552" customFormat="1" ht="15">
      <c r="B30" s="553"/>
      <c r="C30" s="553"/>
      <c r="D30" s="553"/>
    </row>
    <row r="31" spans="2:4" s="552" customFormat="1" ht="15">
      <c r="B31" s="553"/>
      <c r="C31" s="557"/>
      <c r="D31" s="557"/>
    </row>
    <row r="32" spans="2:4" ht="15">
      <c r="B32" s="558"/>
      <c r="C32" s="559"/>
      <c r="D32" s="559"/>
    </row>
    <row r="33" spans="2:4" ht="15">
      <c r="B33" s="553"/>
      <c r="C33" s="553"/>
      <c r="D33" s="557"/>
    </row>
    <row r="34" spans="2:4" ht="15">
      <c r="B34" s="553"/>
      <c r="C34" s="560"/>
      <c r="D34" s="560"/>
    </row>
    <row r="35" spans="2:4" ht="15">
      <c r="B35" s="553"/>
      <c r="C35" s="561"/>
      <c r="D35" s="561"/>
    </row>
  </sheetData>
  <sheetProtection/>
  <mergeCells count="6">
    <mergeCell ref="B2:D2"/>
    <mergeCell ref="B3:D3"/>
    <mergeCell ref="B4:D4"/>
    <mergeCell ref="B6:B7"/>
    <mergeCell ref="C6:C7"/>
    <mergeCell ref="D6:D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view="pageLayout" workbookViewId="0" topLeftCell="A7">
      <selection activeCell="A1" sqref="A1"/>
    </sheetView>
  </sheetViews>
  <sheetFormatPr defaultColWidth="9.140625" defaultRowHeight="15"/>
  <sheetData>
    <row r="52" ht="6" customHeight="1"/>
  </sheetData>
  <sheetProtection/>
  <printOptions/>
  <pageMargins left="0.96875"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AX131"/>
  <sheetViews>
    <sheetView view="pageLayout" zoomScaleSheetLayoutView="100" workbookViewId="0" topLeftCell="A58">
      <selection activeCell="W146" sqref="W146"/>
    </sheetView>
  </sheetViews>
  <sheetFormatPr defaultColWidth="9.140625" defaultRowHeight="15"/>
  <cols>
    <col min="1" max="2" width="3.57421875" style="122" customWidth="1"/>
    <col min="3" max="3" width="7.421875" style="122" customWidth="1"/>
    <col min="4" max="11" width="3.57421875" style="122" customWidth="1"/>
    <col min="12" max="12" width="2.140625" style="122" customWidth="1"/>
    <col min="13" max="18" width="3.57421875" style="122" customWidth="1"/>
    <col min="19" max="19" width="2.28125" style="122" customWidth="1"/>
    <col min="20" max="20" width="1.421875" style="122" customWidth="1"/>
    <col min="21" max="21" width="3.00390625" style="122" customWidth="1"/>
    <col min="22" max="22" width="2.57421875" style="122" customWidth="1"/>
    <col min="23" max="23" width="3.7109375" style="122" customWidth="1"/>
    <col min="24" max="25" width="3.57421875" style="122" customWidth="1"/>
    <col min="26" max="26" width="12.00390625" style="122" customWidth="1"/>
    <col min="27" max="29" width="9.140625" style="122" customWidth="1"/>
    <col min="30" max="30" width="16.28125" style="122" bestFit="1" customWidth="1"/>
    <col min="31" max="16384" width="9.140625" style="122" customWidth="1"/>
  </cols>
  <sheetData>
    <row r="1" spans="1:25" ht="22.5" customHeight="1">
      <c r="A1" s="990" t="s">
        <v>56</v>
      </c>
      <c r="B1" s="991"/>
      <c r="C1" s="991"/>
      <c r="D1" s="991"/>
      <c r="E1" s="991"/>
      <c r="F1" s="991"/>
      <c r="G1" s="991"/>
      <c r="H1" s="991"/>
      <c r="I1" s="991"/>
      <c r="J1" s="991"/>
      <c r="K1" s="991"/>
      <c r="L1" s="991"/>
      <c r="M1" s="991"/>
      <c r="N1" s="991"/>
      <c r="O1" s="991"/>
      <c r="P1" s="991"/>
      <c r="Q1" s="991"/>
      <c r="R1" s="991"/>
      <c r="S1" s="991"/>
      <c r="T1" s="991"/>
      <c r="U1" s="991"/>
      <c r="V1" s="991"/>
      <c r="W1" s="991"/>
      <c r="X1" s="991"/>
      <c r="Y1" s="991"/>
    </row>
    <row r="2" spans="1:25" ht="15">
      <c r="A2" s="466"/>
      <c r="B2" s="562"/>
      <c r="C2" s="466"/>
      <c r="D2" s="466"/>
      <c r="E2" s="466"/>
      <c r="F2" s="466"/>
      <c r="G2" s="466"/>
      <c r="H2" s="466"/>
      <c r="I2" s="466"/>
      <c r="J2" s="466"/>
      <c r="K2" s="466"/>
      <c r="L2" s="466"/>
      <c r="M2" s="466"/>
      <c r="N2" s="466"/>
      <c r="O2" s="466"/>
      <c r="P2" s="466"/>
      <c r="Q2" s="466"/>
      <c r="R2" s="466"/>
      <c r="S2" s="466"/>
      <c r="T2" s="466"/>
      <c r="U2" s="466"/>
      <c r="V2" s="466"/>
      <c r="W2" s="466"/>
      <c r="X2" s="466"/>
      <c r="Y2" s="466"/>
    </row>
    <row r="3" spans="1:25" ht="82.5" customHeight="1">
      <c r="A3" s="563"/>
      <c r="B3" s="992" t="s">
        <v>1630</v>
      </c>
      <c r="C3" s="992"/>
      <c r="D3" s="992"/>
      <c r="E3" s="992"/>
      <c r="F3" s="992"/>
      <c r="G3" s="992"/>
      <c r="H3" s="992"/>
      <c r="I3" s="992"/>
      <c r="J3" s="992"/>
      <c r="K3" s="992"/>
      <c r="L3" s="992"/>
      <c r="M3" s="992"/>
      <c r="N3" s="992"/>
      <c r="O3" s="992"/>
      <c r="P3" s="992"/>
      <c r="Q3" s="992"/>
      <c r="R3" s="992"/>
      <c r="S3" s="992"/>
      <c r="T3" s="992"/>
      <c r="U3" s="992"/>
      <c r="V3" s="992"/>
      <c r="W3" s="992"/>
      <c r="X3" s="992"/>
      <c r="Y3" s="563"/>
    </row>
    <row r="4" spans="1:26" ht="66" customHeight="1">
      <c r="A4" s="466"/>
      <c r="B4" s="993" t="str">
        <f>""&amp;'2.ISIAN DATA SKPD'!D2&amp;" sebagai  SKPD adalah salah satu entitas Pelaporan di bawah "&amp;'2.ISIAN DATA SKPD'!D3&amp;" yang berkewajiban menyelenggarakan akuntansi dan laporan pertanggungjawaban atas pelaksanaan Anggaran Pendapatan dan Belanja  Daerah. "</f>
        <v>Kecamatan Kaliwiro sebagai  SKPD adalah salah satu entitas Pelaporan di bawah Pemerintah Kabupaten Wonosobo yang berkewajiban menyelenggarakan akuntansi dan laporan pertanggungjawaban atas pelaksanaan Anggaran Pendapatan dan Belanja  Daerah. </v>
      </c>
      <c r="C4" s="993"/>
      <c r="D4" s="993"/>
      <c r="E4" s="993"/>
      <c r="F4" s="993"/>
      <c r="G4" s="993"/>
      <c r="H4" s="993"/>
      <c r="I4" s="993"/>
      <c r="J4" s="993"/>
      <c r="K4" s="993"/>
      <c r="L4" s="993"/>
      <c r="M4" s="993"/>
      <c r="N4" s="993"/>
      <c r="O4" s="993"/>
      <c r="P4" s="993"/>
      <c r="Q4" s="993"/>
      <c r="R4" s="993"/>
      <c r="S4" s="993"/>
      <c r="T4" s="993"/>
      <c r="U4" s="993"/>
      <c r="V4" s="993"/>
      <c r="W4" s="993"/>
      <c r="X4" s="993"/>
      <c r="Y4" s="466"/>
      <c r="Z4" s="564"/>
    </row>
    <row r="5" spans="1:26" ht="51" customHeight="1">
      <c r="A5" s="563"/>
      <c r="B5" s="993" t="s">
        <v>1719</v>
      </c>
      <c r="C5" s="993"/>
      <c r="D5" s="993"/>
      <c r="E5" s="993"/>
      <c r="F5" s="993"/>
      <c r="G5" s="993"/>
      <c r="H5" s="993"/>
      <c r="I5" s="993"/>
      <c r="J5" s="993"/>
      <c r="K5" s="993"/>
      <c r="L5" s="993"/>
      <c r="M5" s="993"/>
      <c r="N5" s="993"/>
      <c r="O5" s="993"/>
      <c r="P5" s="993"/>
      <c r="Q5" s="993"/>
      <c r="R5" s="993"/>
      <c r="S5" s="993"/>
      <c r="T5" s="993"/>
      <c r="U5" s="993"/>
      <c r="V5" s="993"/>
      <c r="W5" s="993"/>
      <c r="X5" s="993"/>
      <c r="Y5" s="563"/>
      <c r="Z5" s="564"/>
    </row>
    <row r="6" spans="1:26" ht="65.25" customHeight="1">
      <c r="A6" s="563"/>
      <c r="B6" s="994" t="str">
        <f>"Penyusunan Laporan Keuangan "&amp;'2.ISIAN DATA SKPD'!D2&amp;" mengacu pada Peraturan Pemerintah Nomor 71 Tahun 2010 tentang Standar Akuntansi Pemerintahan dan kaidah-kaidah pengelolaan keuangan yang sehat dalam Pemerintahan. "</f>
        <v>Penyusunan Laporan Keuangan Kecamatan Kaliwiro mengacu pada Peraturan Pemerintah Nomor 71 Tahun 2010 tentang Standar Akuntansi Pemerintahan dan kaidah-kaidah pengelolaan keuangan yang sehat dalam Pemerintahan. </v>
      </c>
      <c r="C6" s="994"/>
      <c r="D6" s="994"/>
      <c r="E6" s="994"/>
      <c r="F6" s="994"/>
      <c r="G6" s="994"/>
      <c r="H6" s="994"/>
      <c r="I6" s="994"/>
      <c r="J6" s="994"/>
      <c r="K6" s="994"/>
      <c r="L6" s="994"/>
      <c r="M6" s="994"/>
      <c r="N6" s="994"/>
      <c r="O6" s="994"/>
      <c r="P6" s="994"/>
      <c r="Q6" s="994"/>
      <c r="R6" s="994"/>
      <c r="S6" s="994"/>
      <c r="T6" s="994"/>
      <c r="U6" s="994"/>
      <c r="V6" s="994"/>
      <c r="W6" s="994"/>
      <c r="X6" s="994"/>
      <c r="Y6" s="563"/>
      <c r="Z6" s="565"/>
    </row>
    <row r="7" spans="1:25" ht="50.25" customHeight="1">
      <c r="A7" s="563"/>
      <c r="B7" s="985" t="s">
        <v>57</v>
      </c>
      <c r="C7" s="983"/>
      <c r="D7" s="983"/>
      <c r="E7" s="983"/>
      <c r="F7" s="983"/>
      <c r="G7" s="983"/>
      <c r="H7" s="983"/>
      <c r="I7" s="983"/>
      <c r="J7" s="983"/>
      <c r="K7" s="983"/>
      <c r="L7" s="983"/>
      <c r="M7" s="983"/>
      <c r="N7" s="983"/>
      <c r="O7" s="983"/>
      <c r="P7" s="983"/>
      <c r="Q7" s="983"/>
      <c r="R7" s="983"/>
      <c r="S7" s="983"/>
      <c r="T7" s="983"/>
      <c r="U7" s="983"/>
      <c r="V7" s="983"/>
      <c r="W7" s="983"/>
      <c r="X7" s="983"/>
      <c r="Y7" s="563"/>
    </row>
    <row r="8" spans="1:25" ht="64.5" customHeight="1">
      <c r="A8" s="563"/>
      <c r="B8" s="985" t="str">
        <f>"Laporan Keuangan ini diharapkan dapat memberikan informasi yang berguna kepada para pengguna laporan khususnya sebagai sarana untuk meningkatkan akuntabilitas/ pertanggungjawaban dan transparansi pengelolaan keuangan daerah pada "&amp;'2.ISIAN DATA SKPD'!D2&amp;". "</f>
        <v>Laporan Keuangan ini diharapkan dapat memberikan informasi yang berguna kepada para pengguna laporan khususnya sebagai sarana untuk meningkatkan akuntabilitas/ pertanggungjawaban dan transparansi pengelolaan keuangan daerah pada Kecamatan Kaliwiro. </v>
      </c>
      <c r="C8" s="983"/>
      <c r="D8" s="983"/>
      <c r="E8" s="983"/>
      <c r="F8" s="983"/>
      <c r="G8" s="983"/>
      <c r="H8" s="983"/>
      <c r="I8" s="983"/>
      <c r="J8" s="983"/>
      <c r="K8" s="983"/>
      <c r="L8" s="983"/>
      <c r="M8" s="983"/>
      <c r="N8" s="983"/>
      <c r="O8" s="983"/>
      <c r="P8" s="983"/>
      <c r="Q8" s="983"/>
      <c r="R8" s="983"/>
      <c r="S8" s="983"/>
      <c r="T8" s="983"/>
      <c r="U8" s="983"/>
      <c r="V8" s="983"/>
      <c r="W8" s="983"/>
      <c r="X8" s="983"/>
      <c r="Y8" s="563"/>
    </row>
    <row r="9" spans="1:25" ht="66.75" customHeight="1">
      <c r="A9" s="563"/>
      <c r="B9" s="985" t="s">
        <v>1631</v>
      </c>
      <c r="C9" s="983"/>
      <c r="D9" s="983"/>
      <c r="E9" s="983"/>
      <c r="F9" s="983"/>
      <c r="G9" s="983"/>
      <c r="H9" s="983"/>
      <c r="I9" s="983"/>
      <c r="J9" s="983"/>
      <c r="K9" s="983"/>
      <c r="L9" s="983"/>
      <c r="M9" s="983"/>
      <c r="N9" s="983"/>
      <c r="O9" s="983"/>
      <c r="P9" s="983"/>
      <c r="Q9" s="983"/>
      <c r="R9" s="983"/>
      <c r="S9" s="983"/>
      <c r="T9" s="983"/>
      <c r="U9" s="983"/>
      <c r="V9" s="983"/>
      <c r="W9" s="983"/>
      <c r="X9" s="983"/>
      <c r="Y9" s="563"/>
    </row>
    <row r="10" spans="1:25" ht="15.75">
      <c r="A10" s="563"/>
      <c r="B10" s="148"/>
      <c r="C10" s="148"/>
      <c r="D10" s="148"/>
      <c r="E10" s="148"/>
      <c r="F10" s="148"/>
      <c r="G10" s="148"/>
      <c r="H10" s="148"/>
      <c r="I10" s="148"/>
      <c r="J10" s="148"/>
      <c r="K10" s="148"/>
      <c r="L10" s="148"/>
      <c r="M10" s="148"/>
      <c r="N10" s="998" t="str">
        <f>"Wonosobo, "&amp;'2.ISIAN DATA SKPD'!D19&amp;""</f>
        <v>Wonosobo, 15 Februari 2018</v>
      </c>
      <c r="O10" s="998"/>
      <c r="P10" s="998"/>
      <c r="Q10" s="998"/>
      <c r="R10" s="998"/>
      <c r="S10" s="998"/>
      <c r="T10" s="998"/>
      <c r="U10" s="998"/>
      <c r="V10" s="998"/>
      <c r="W10" s="998"/>
      <c r="X10" s="998"/>
      <c r="Y10" s="563"/>
    </row>
    <row r="11" spans="1:25" ht="15.75">
      <c r="A11" s="563"/>
      <c r="B11" s="148"/>
      <c r="C11" s="148"/>
      <c r="D11" s="148"/>
      <c r="E11" s="148"/>
      <c r="F11" s="148"/>
      <c r="G11" s="148"/>
      <c r="H11" s="148"/>
      <c r="I11" s="148"/>
      <c r="J11" s="148"/>
      <c r="K11" s="148"/>
      <c r="M11" s="566"/>
      <c r="N11" s="988" t="str">
        <f>"Kepala "&amp;'2.ISIAN DATA SKPD'!D2&amp;","</f>
        <v>Kepala Kecamatan Kaliwiro,</v>
      </c>
      <c r="O11" s="988"/>
      <c r="P11" s="988"/>
      <c r="Q11" s="988"/>
      <c r="R11" s="988"/>
      <c r="S11" s="988"/>
      <c r="T11" s="988"/>
      <c r="U11" s="988"/>
      <c r="V11" s="988"/>
      <c r="W11" s="988"/>
      <c r="X11" s="988"/>
      <c r="Y11" s="563"/>
    </row>
    <row r="12" spans="1:25" ht="15.75">
      <c r="A12" s="563"/>
      <c r="B12" s="148"/>
      <c r="C12" s="148"/>
      <c r="D12" s="148"/>
      <c r="E12" s="148"/>
      <c r="F12" s="148"/>
      <c r="G12" s="148"/>
      <c r="H12" s="148"/>
      <c r="I12" s="148"/>
      <c r="J12" s="148"/>
      <c r="K12" s="148"/>
      <c r="L12" s="148"/>
      <c r="M12" s="148"/>
      <c r="Y12" s="563"/>
    </row>
    <row r="13" spans="1:25" ht="15.75">
      <c r="A13" s="563"/>
      <c r="B13" s="148"/>
      <c r="C13" s="148"/>
      <c r="D13" s="148"/>
      <c r="E13" s="148"/>
      <c r="F13" s="148"/>
      <c r="G13" s="148"/>
      <c r="H13" s="148"/>
      <c r="I13" s="148"/>
      <c r="J13" s="148"/>
      <c r="K13" s="148"/>
      <c r="L13" s="148"/>
      <c r="M13" s="148"/>
      <c r="N13" s="148"/>
      <c r="O13" s="567"/>
      <c r="P13" s="567"/>
      <c r="Q13" s="567"/>
      <c r="R13" s="567"/>
      <c r="S13" s="567"/>
      <c r="T13" s="567"/>
      <c r="U13" s="567"/>
      <c r="V13" s="567"/>
      <c r="W13" s="567"/>
      <c r="X13" s="567"/>
      <c r="Y13" s="563"/>
    </row>
    <row r="14" spans="1:25" ht="15.75">
      <c r="A14" s="563"/>
      <c r="B14" s="148"/>
      <c r="C14" s="148"/>
      <c r="D14" s="148"/>
      <c r="E14" s="148"/>
      <c r="F14" s="148"/>
      <c r="G14" s="148"/>
      <c r="H14" s="148"/>
      <c r="I14" s="148"/>
      <c r="J14" s="148"/>
      <c r="K14" s="148"/>
      <c r="L14" s="148"/>
      <c r="M14" s="148"/>
      <c r="N14" s="148"/>
      <c r="O14" s="567"/>
      <c r="P14" s="567"/>
      <c r="Q14" s="567"/>
      <c r="R14" s="567"/>
      <c r="S14" s="567"/>
      <c r="T14" s="567"/>
      <c r="U14" s="567"/>
      <c r="V14" s="567"/>
      <c r="W14" s="567"/>
      <c r="X14" s="567"/>
      <c r="Y14" s="563"/>
    </row>
    <row r="15" spans="1:25" ht="15.75">
      <c r="A15" s="563"/>
      <c r="B15" s="148"/>
      <c r="C15" s="148"/>
      <c r="D15" s="148"/>
      <c r="E15" s="148"/>
      <c r="F15" s="148"/>
      <c r="G15" s="148"/>
      <c r="H15" s="148"/>
      <c r="I15" s="148"/>
      <c r="J15" s="148"/>
      <c r="K15" s="148"/>
      <c r="N15" s="995" t="str">
        <f>'2.ISIAN DATA SKPD'!D13</f>
        <v>Hemi widiyanto, S.Sos,MM</v>
      </c>
      <c r="O15" s="995"/>
      <c r="P15" s="995"/>
      <c r="Q15" s="995"/>
      <c r="R15" s="995"/>
      <c r="S15" s="995"/>
      <c r="T15" s="995"/>
      <c r="U15" s="995"/>
      <c r="V15" s="995"/>
      <c r="W15" s="995"/>
      <c r="X15" s="995"/>
      <c r="Y15" s="563"/>
    </row>
    <row r="16" spans="1:25" ht="15.75">
      <c r="A16" s="563"/>
      <c r="B16" s="148"/>
      <c r="C16" s="148"/>
      <c r="D16" s="148"/>
      <c r="E16" s="148"/>
      <c r="F16" s="148"/>
      <c r="G16" s="148"/>
      <c r="H16" s="148"/>
      <c r="I16" s="148"/>
      <c r="J16" s="148"/>
      <c r="K16" s="148"/>
      <c r="M16" s="568"/>
      <c r="N16" s="996" t="str">
        <f>"NIP. "&amp;'2.ISIAN DATA SKPD'!D14&amp;""</f>
        <v>NIP. 196010221986071001</v>
      </c>
      <c r="O16" s="996"/>
      <c r="P16" s="996"/>
      <c r="Q16" s="996"/>
      <c r="R16" s="996"/>
      <c r="S16" s="996"/>
      <c r="T16" s="996"/>
      <c r="U16" s="996"/>
      <c r="V16" s="996"/>
      <c r="W16" s="996"/>
      <c r="X16" s="996"/>
      <c r="Y16" s="563"/>
    </row>
    <row r="17" spans="1:25" ht="15.75">
      <c r="A17" s="563"/>
      <c r="B17" s="148"/>
      <c r="C17" s="148"/>
      <c r="D17" s="148"/>
      <c r="E17" s="148"/>
      <c r="F17" s="148"/>
      <c r="G17" s="148"/>
      <c r="H17" s="148"/>
      <c r="I17" s="148"/>
      <c r="J17" s="148"/>
      <c r="K17" s="148"/>
      <c r="L17" s="148"/>
      <c r="M17" s="148"/>
      <c r="N17" s="569"/>
      <c r="O17" s="569"/>
      <c r="P17" s="569"/>
      <c r="Q17" s="569"/>
      <c r="R17" s="569"/>
      <c r="S17" s="569"/>
      <c r="T17" s="569"/>
      <c r="U17" s="569"/>
      <c r="V17" s="569"/>
      <c r="W17" s="569"/>
      <c r="X17" s="569"/>
      <c r="Y17" s="563"/>
    </row>
    <row r="18" spans="1:25" ht="15.75">
      <c r="A18" s="563"/>
      <c r="B18" s="148"/>
      <c r="C18" s="148"/>
      <c r="D18" s="148"/>
      <c r="E18" s="148"/>
      <c r="F18" s="148"/>
      <c r="G18" s="148"/>
      <c r="H18" s="148"/>
      <c r="I18" s="148"/>
      <c r="J18" s="148"/>
      <c r="K18" s="148"/>
      <c r="L18" s="148"/>
      <c r="M18" s="148"/>
      <c r="N18" s="997"/>
      <c r="O18" s="997"/>
      <c r="P18" s="997"/>
      <c r="Q18" s="567"/>
      <c r="R18" s="567"/>
      <c r="S18" s="567"/>
      <c r="T18" s="567"/>
      <c r="U18" s="567"/>
      <c r="V18" s="567"/>
      <c r="W18" s="567"/>
      <c r="X18" s="567"/>
      <c r="Y18" s="563"/>
    </row>
    <row r="19" spans="1:25" ht="15.75">
      <c r="A19" s="563"/>
      <c r="B19" s="148"/>
      <c r="C19" s="148"/>
      <c r="D19" s="148"/>
      <c r="E19" s="148"/>
      <c r="F19" s="148"/>
      <c r="G19" s="148"/>
      <c r="H19" s="148"/>
      <c r="I19" s="148"/>
      <c r="J19" s="148"/>
      <c r="K19" s="148"/>
      <c r="L19" s="148"/>
      <c r="M19" s="148"/>
      <c r="N19" s="570"/>
      <c r="P19" s="567"/>
      <c r="Q19" s="567"/>
      <c r="R19" s="567"/>
      <c r="S19" s="567"/>
      <c r="T19" s="567"/>
      <c r="U19" s="567"/>
      <c r="V19" s="567"/>
      <c r="W19" s="567"/>
      <c r="X19" s="567"/>
      <c r="Y19" s="563"/>
    </row>
    <row r="20" spans="1:25" ht="15.75">
      <c r="A20" s="563"/>
      <c r="B20" s="148"/>
      <c r="C20" s="148"/>
      <c r="D20" s="148"/>
      <c r="E20" s="148"/>
      <c r="F20" s="148"/>
      <c r="G20" s="148"/>
      <c r="H20" s="148"/>
      <c r="I20" s="148"/>
      <c r="J20" s="148"/>
      <c r="K20" s="148"/>
      <c r="L20" s="148"/>
      <c r="M20" s="148"/>
      <c r="N20" s="570"/>
      <c r="P20" s="567"/>
      <c r="Q20" s="567"/>
      <c r="R20" s="567"/>
      <c r="S20" s="567"/>
      <c r="T20" s="567"/>
      <c r="U20" s="567"/>
      <c r="V20" s="567"/>
      <c r="W20" s="567"/>
      <c r="X20" s="567"/>
      <c r="Y20" s="563"/>
    </row>
    <row r="21" spans="1:25" ht="15.75">
      <c r="A21" s="563"/>
      <c r="B21" s="148"/>
      <c r="C21" s="148"/>
      <c r="D21" s="148"/>
      <c r="E21" s="148"/>
      <c r="F21" s="148"/>
      <c r="G21" s="148"/>
      <c r="H21" s="148"/>
      <c r="I21" s="148"/>
      <c r="J21" s="148"/>
      <c r="K21" s="148"/>
      <c r="L21" s="148"/>
      <c r="M21" s="148"/>
      <c r="N21" s="570"/>
      <c r="P21" s="567"/>
      <c r="Q21" s="567"/>
      <c r="R21" s="567"/>
      <c r="S21" s="567"/>
      <c r="T21" s="567"/>
      <c r="U21" s="567"/>
      <c r="V21" s="567"/>
      <c r="W21" s="567"/>
      <c r="X21" s="567"/>
      <c r="Y21" s="563"/>
    </row>
    <row r="22" spans="1:25" ht="15.75">
      <c r="A22" s="563"/>
      <c r="B22" s="148"/>
      <c r="C22" s="148"/>
      <c r="D22" s="148"/>
      <c r="E22" s="148"/>
      <c r="F22" s="148"/>
      <c r="G22" s="148"/>
      <c r="H22" s="148"/>
      <c r="I22" s="148"/>
      <c r="J22" s="148"/>
      <c r="K22" s="148"/>
      <c r="L22" s="148"/>
      <c r="M22" s="148"/>
      <c r="N22" s="570"/>
      <c r="P22" s="567"/>
      <c r="Q22" s="567"/>
      <c r="R22" s="567"/>
      <c r="S22" s="567"/>
      <c r="T22" s="567"/>
      <c r="U22" s="567"/>
      <c r="V22" s="567"/>
      <c r="W22" s="567"/>
      <c r="X22" s="567"/>
      <c r="Y22" s="563"/>
    </row>
    <row r="23" spans="1:25" ht="15.75">
      <c r="A23" s="563"/>
      <c r="B23" s="148"/>
      <c r="C23" s="148"/>
      <c r="D23" s="148"/>
      <c r="E23" s="148"/>
      <c r="F23" s="148"/>
      <c r="G23" s="148"/>
      <c r="H23" s="148"/>
      <c r="I23" s="148"/>
      <c r="J23" s="148"/>
      <c r="K23" s="148"/>
      <c r="L23" s="148"/>
      <c r="M23" s="148"/>
      <c r="N23" s="570"/>
      <c r="P23" s="567"/>
      <c r="Q23" s="567"/>
      <c r="R23" s="567"/>
      <c r="S23" s="567"/>
      <c r="T23" s="567"/>
      <c r="U23" s="567"/>
      <c r="V23" s="567"/>
      <c r="W23" s="567"/>
      <c r="X23" s="567"/>
      <c r="Y23" s="563"/>
    </row>
    <row r="24" spans="1:25" ht="15.75">
      <c r="A24" s="563"/>
      <c r="B24" s="148"/>
      <c r="C24" s="148"/>
      <c r="D24" s="148"/>
      <c r="E24" s="148"/>
      <c r="F24" s="148"/>
      <c r="G24" s="148"/>
      <c r="H24" s="148"/>
      <c r="I24" s="148"/>
      <c r="J24" s="148"/>
      <c r="K24" s="148"/>
      <c r="L24" s="148"/>
      <c r="M24" s="148"/>
      <c r="N24" s="570"/>
      <c r="P24" s="567"/>
      <c r="Q24" s="567"/>
      <c r="R24" s="567"/>
      <c r="S24" s="567"/>
      <c r="T24" s="567"/>
      <c r="U24" s="567"/>
      <c r="V24" s="567"/>
      <c r="W24" s="567"/>
      <c r="X24" s="567"/>
      <c r="Y24" s="563"/>
    </row>
    <row r="25" spans="1:25" ht="24" customHeight="1">
      <c r="A25" s="986" t="s">
        <v>0</v>
      </c>
      <c r="B25" s="987"/>
      <c r="C25" s="987"/>
      <c r="D25" s="987"/>
      <c r="E25" s="987"/>
      <c r="F25" s="987"/>
      <c r="G25" s="987"/>
      <c r="H25" s="987"/>
      <c r="I25" s="987"/>
      <c r="J25" s="987"/>
      <c r="K25" s="987"/>
      <c r="L25" s="987"/>
      <c r="M25" s="987"/>
      <c r="N25" s="987"/>
      <c r="O25" s="987"/>
      <c r="P25" s="987"/>
      <c r="Q25" s="987"/>
      <c r="R25" s="987"/>
      <c r="S25" s="987"/>
      <c r="T25" s="987"/>
      <c r="U25" s="987"/>
      <c r="V25" s="987"/>
      <c r="W25" s="987"/>
      <c r="X25" s="987"/>
      <c r="Y25" s="987"/>
    </row>
    <row r="26" spans="1:25" ht="15.75">
      <c r="A26" s="563"/>
      <c r="B26" s="148"/>
      <c r="C26" s="148"/>
      <c r="D26" s="148"/>
      <c r="E26" s="148"/>
      <c r="F26" s="148"/>
      <c r="G26" s="148"/>
      <c r="H26" s="148"/>
      <c r="I26" s="148"/>
      <c r="J26" s="148"/>
      <c r="K26" s="148"/>
      <c r="L26" s="148"/>
      <c r="M26" s="148"/>
      <c r="N26" s="570"/>
      <c r="P26" s="567"/>
      <c r="Q26" s="567"/>
      <c r="R26" s="567"/>
      <c r="S26" s="567"/>
      <c r="T26" s="567"/>
      <c r="U26" s="567"/>
      <c r="V26" s="567"/>
      <c r="W26" s="567"/>
      <c r="X26" s="567"/>
      <c r="Y26" s="563"/>
    </row>
    <row r="27" spans="1:25" ht="15.75">
      <c r="A27" s="563"/>
      <c r="B27" s="148"/>
      <c r="C27" s="148"/>
      <c r="D27" s="148"/>
      <c r="E27" s="148"/>
      <c r="F27" s="148"/>
      <c r="G27" s="148"/>
      <c r="H27" s="148"/>
      <c r="I27" s="148"/>
      <c r="J27" s="148"/>
      <c r="K27" s="148"/>
      <c r="L27" s="148"/>
      <c r="M27" s="148"/>
      <c r="N27" s="570"/>
      <c r="P27" s="567"/>
      <c r="Q27" s="567"/>
      <c r="R27" s="567"/>
      <c r="S27" s="567"/>
      <c r="T27" s="567"/>
      <c r="U27" s="567"/>
      <c r="V27" s="567"/>
      <c r="W27" s="975" t="s">
        <v>72</v>
      </c>
      <c r="X27" s="975"/>
      <c r="Y27" s="563"/>
    </row>
    <row r="28" spans="1:25" ht="15.75">
      <c r="A28" s="563"/>
      <c r="B28" s="978" t="s">
        <v>61</v>
      </c>
      <c r="C28" s="979"/>
      <c r="D28" s="979"/>
      <c r="E28" s="979"/>
      <c r="F28" s="979"/>
      <c r="G28" s="979"/>
      <c r="H28" s="979"/>
      <c r="I28" s="979"/>
      <c r="J28" s="979"/>
      <c r="K28" s="979"/>
      <c r="L28" s="979"/>
      <c r="M28" s="979"/>
      <c r="N28" s="979"/>
      <c r="O28" s="979"/>
      <c r="P28" s="979"/>
      <c r="Q28" s="979"/>
      <c r="R28" s="979"/>
      <c r="S28" s="979"/>
      <c r="T28" s="979"/>
      <c r="U28" s="979"/>
      <c r="V28" s="979"/>
      <c r="W28" s="980"/>
      <c r="X28" s="980"/>
      <c r="Y28" s="563"/>
    </row>
    <row r="29" spans="1:25" ht="15.75">
      <c r="A29" s="563"/>
      <c r="B29" s="978" t="s">
        <v>62</v>
      </c>
      <c r="C29" s="979"/>
      <c r="D29" s="979"/>
      <c r="E29" s="979"/>
      <c r="F29" s="979"/>
      <c r="G29" s="979"/>
      <c r="H29" s="979"/>
      <c r="I29" s="979"/>
      <c r="J29" s="979"/>
      <c r="K29" s="979"/>
      <c r="L29" s="979"/>
      <c r="M29" s="979"/>
      <c r="N29" s="979"/>
      <c r="O29" s="979"/>
      <c r="P29" s="979"/>
      <c r="Q29" s="979"/>
      <c r="R29" s="979"/>
      <c r="S29" s="979"/>
      <c r="T29" s="979"/>
      <c r="U29" s="979"/>
      <c r="V29" s="979"/>
      <c r="W29" s="980"/>
      <c r="X29" s="980"/>
      <c r="Y29" s="563"/>
    </row>
    <row r="30" spans="1:25" ht="15.75">
      <c r="A30" s="563"/>
      <c r="B30" s="978" t="s">
        <v>63</v>
      </c>
      <c r="C30" s="979"/>
      <c r="D30" s="979"/>
      <c r="E30" s="979"/>
      <c r="F30" s="979"/>
      <c r="G30" s="979"/>
      <c r="H30" s="979"/>
      <c r="I30" s="979"/>
      <c r="J30" s="979"/>
      <c r="K30" s="979"/>
      <c r="L30" s="979"/>
      <c r="M30" s="979"/>
      <c r="N30" s="979"/>
      <c r="O30" s="979"/>
      <c r="P30" s="979"/>
      <c r="Q30" s="979"/>
      <c r="R30" s="979"/>
      <c r="S30" s="979"/>
      <c r="T30" s="979"/>
      <c r="U30" s="979"/>
      <c r="V30" s="979"/>
      <c r="W30" s="980"/>
      <c r="X30" s="980"/>
      <c r="Y30" s="563"/>
    </row>
    <row r="31" spans="1:25" ht="15.75">
      <c r="A31" s="563"/>
      <c r="B31" s="978" t="s">
        <v>64</v>
      </c>
      <c r="C31" s="979"/>
      <c r="D31" s="979"/>
      <c r="E31" s="979"/>
      <c r="F31" s="979"/>
      <c r="G31" s="979"/>
      <c r="H31" s="979"/>
      <c r="I31" s="979"/>
      <c r="J31" s="979"/>
      <c r="K31" s="979"/>
      <c r="L31" s="979"/>
      <c r="M31" s="979"/>
      <c r="N31" s="979"/>
      <c r="O31" s="979"/>
      <c r="P31" s="979"/>
      <c r="Q31" s="979"/>
      <c r="R31" s="979"/>
      <c r="S31" s="979"/>
      <c r="T31" s="979"/>
      <c r="U31" s="979"/>
      <c r="V31" s="979"/>
      <c r="W31" s="980"/>
      <c r="X31" s="980"/>
      <c r="Y31" s="563"/>
    </row>
    <row r="32" spans="1:25" ht="15.75">
      <c r="A32" s="563"/>
      <c r="B32" s="606" t="s">
        <v>14</v>
      </c>
      <c r="C32" s="978" t="s">
        <v>68</v>
      </c>
      <c r="D32" s="979"/>
      <c r="E32" s="979"/>
      <c r="F32" s="979"/>
      <c r="G32" s="979"/>
      <c r="H32" s="979"/>
      <c r="I32" s="979"/>
      <c r="J32" s="979"/>
      <c r="K32" s="979"/>
      <c r="L32" s="979"/>
      <c r="M32" s="979"/>
      <c r="N32" s="979"/>
      <c r="O32" s="979"/>
      <c r="P32" s="979"/>
      <c r="Q32" s="979"/>
      <c r="R32" s="979"/>
      <c r="S32" s="979"/>
      <c r="T32" s="979"/>
      <c r="U32" s="979"/>
      <c r="V32" s="979"/>
      <c r="W32" s="980"/>
      <c r="X32" s="980"/>
      <c r="Y32" s="563"/>
    </row>
    <row r="33" spans="1:25" ht="15.75">
      <c r="A33" s="563"/>
      <c r="B33" s="606" t="s">
        <v>18</v>
      </c>
      <c r="C33" s="978" t="s">
        <v>29</v>
      </c>
      <c r="D33" s="979"/>
      <c r="E33" s="979"/>
      <c r="F33" s="979"/>
      <c r="G33" s="979"/>
      <c r="H33" s="979"/>
      <c r="I33" s="979"/>
      <c r="J33" s="979"/>
      <c r="K33" s="979"/>
      <c r="L33" s="979"/>
      <c r="M33" s="979"/>
      <c r="N33" s="979"/>
      <c r="O33" s="979"/>
      <c r="P33" s="979"/>
      <c r="Q33" s="979"/>
      <c r="R33" s="979"/>
      <c r="S33" s="979"/>
      <c r="T33" s="979"/>
      <c r="U33" s="979"/>
      <c r="V33" s="979"/>
      <c r="W33" s="980"/>
      <c r="X33" s="980"/>
      <c r="Y33" s="563"/>
    </row>
    <row r="34" spans="1:25" ht="15.75">
      <c r="A34" s="563"/>
      <c r="B34" s="606" t="s">
        <v>65</v>
      </c>
      <c r="C34" s="978" t="s">
        <v>69</v>
      </c>
      <c r="D34" s="978"/>
      <c r="E34" s="978"/>
      <c r="F34" s="978"/>
      <c r="G34" s="978"/>
      <c r="H34" s="978"/>
      <c r="I34" s="978"/>
      <c r="J34" s="978"/>
      <c r="K34" s="978"/>
      <c r="L34" s="978"/>
      <c r="M34" s="978"/>
      <c r="N34" s="978"/>
      <c r="O34" s="978"/>
      <c r="P34" s="978"/>
      <c r="Q34" s="978"/>
      <c r="R34" s="978"/>
      <c r="S34" s="978"/>
      <c r="T34" s="978"/>
      <c r="U34" s="978"/>
      <c r="V34" s="978"/>
      <c r="W34" s="980"/>
      <c r="X34" s="980"/>
      <c r="Y34" s="563"/>
    </row>
    <row r="35" spans="1:25" ht="15.75" customHeight="1">
      <c r="A35" s="563"/>
      <c r="B35" s="606" t="s">
        <v>66</v>
      </c>
      <c r="C35" s="978" t="s">
        <v>70</v>
      </c>
      <c r="D35" s="979"/>
      <c r="E35" s="979"/>
      <c r="F35" s="979"/>
      <c r="G35" s="979"/>
      <c r="H35" s="979"/>
      <c r="I35" s="979"/>
      <c r="J35" s="979"/>
      <c r="K35" s="979"/>
      <c r="L35" s="979"/>
      <c r="M35" s="979"/>
      <c r="N35" s="979"/>
      <c r="O35" s="979"/>
      <c r="P35" s="979"/>
      <c r="Q35" s="979"/>
      <c r="R35" s="979"/>
      <c r="S35" s="979"/>
      <c r="T35" s="979"/>
      <c r="U35" s="979"/>
      <c r="V35" s="979"/>
      <c r="W35" s="980"/>
      <c r="X35" s="980"/>
      <c r="Y35" s="563"/>
    </row>
    <row r="36" spans="1:25" ht="15.75">
      <c r="A36" s="563"/>
      <c r="B36" s="606" t="s">
        <v>67</v>
      </c>
      <c r="C36" s="978" t="s">
        <v>71</v>
      </c>
      <c r="D36" s="979"/>
      <c r="E36" s="979"/>
      <c r="F36" s="979"/>
      <c r="G36" s="979"/>
      <c r="H36" s="979"/>
      <c r="I36" s="979"/>
      <c r="J36" s="979"/>
      <c r="K36" s="979"/>
      <c r="L36" s="979"/>
      <c r="M36" s="979"/>
      <c r="N36" s="979"/>
      <c r="O36" s="979"/>
      <c r="P36" s="979"/>
      <c r="Q36" s="979"/>
      <c r="R36" s="979"/>
      <c r="S36" s="979"/>
      <c r="T36" s="979"/>
      <c r="U36" s="979"/>
      <c r="V36" s="979"/>
      <c r="W36" s="980"/>
      <c r="X36" s="980"/>
      <c r="Y36" s="563"/>
    </row>
    <row r="37" spans="1:25" ht="22.5" customHeight="1">
      <c r="A37" s="563"/>
      <c r="B37" s="148"/>
      <c r="C37" s="571" t="s">
        <v>1402</v>
      </c>
      <c r="D37" s="978" t="s">
        <v>1405</v>
      </c>
      <c r="E37" s="979"/>
      <c r="F37" s="979"/>
      <c r="G37" s="979"/>
      <c r="H37" s="979"/>
      <c r="I37" s="979"/>
      <c r="J37" s="979"/>
      <c r="K37" s="979"/>
      <c r="L37" s="979"/>
      <c r="M37" s="979"/>
      <c r="N37" s="979"/>
      <c r="O37" s="979"/>
      <c r="P37" s="979"/>
      <c r="Q37" s="979"/>
      <c r="R37" s="979"/>
      <c r="S37" s="979"/>
      <c r="T37" s="979"/>
      <c r="U37" s="979"/>
      <c r="V37" s="979"/>
      <c r="W37" s="980"/>
      <c r="X37" s="980"/>
      <c r="Y37" s="563"/>
    </row>
    <row r="38" spans="1:25" ht="17.25" customHeight="1">
      <c r="A38" s="563"/>
      <c r="B38" s="148"/>
      <c r="C38" s="571" t="s">
        <v>1403</v>
      </c>
      <c r="D38" s="978" t="s">
        <v>1633</v>
      </c>
      <c r="E38" s="979"/>
      <c r="F38" s="979"/>
      <c r="G38" s="979"/>
      <c r="H38" s="979"/>
      <c r="I38" s="979"/>
      <c r="J38" s="979"/>
      <c r="K38" s="979"/>
      <c r="L38" s="979"/>
      <c r="M38" s="979"/>
      <c r="N38" s="979"/>
      <c r="O38" s="979"/>
      <c r="P38" s="979"/>
      <c r="Q38" s="979"/>
      <c r="R38" s="979"/>
      <c r="S38" s="979"/>
      <c r="T38" s="979"/>
      <c r="U38" s="979"/>
      <c r="V38" s="979"/>
      <c r="W38" s="980"/>
      <c r="X38" s="980"/>
      <c r="Y38" s="563"/>
    </row>
    <row r="39" spans="1:25" ht="16.5" customHeight="1">
      <c r="A39" s="563"/>
      <c r="B39" s="148"/>
      <c r="C39" s="571" t="s">
        <v>1404</v>
      </c>
      <c r="D39" s="122" t="s">
        <v>1407</v>
      </c>
      <c r="W39" s="980"/>
      <c r="X39" s="980"/>
      <c r="Y39" s="563"/>
    </row>
    <row r="40" spans="1:25" ht="16.5" customHeight="1">
      <c r="A40" s="563"/>
      <c r="B40" s="148"/>
      <c r="C40" s="607" t="s">
        <v>395</v>
      </c>
      <c r="D40" s="122" t="s">
        <v>68</v>
      </c>
      <c r="W40" s="980"/>
      <c r="X40" s="980"/>
      <c r="Y40" s="563"/>
    </row>
    <row r="41" spans="1:25" ht="16.5" customHeight="1">
      <c r="A41" s="563"/>
      <c r="B41" s="148"/>
      <c r="C41" s="607" t="s">
        <v>1536</v>
      </c>
      <c r="D41" s="568" t="s">
        <v>29</v>
      </c>
      <c r="E41" s="568"/>
      <c r="F41" s="568"/>
      <c r="G41" s="568"/>
      <c r="H41" s="568"/>
      <c r="I41" s="568"/>
      <c r="J41" s="568"/>
      <c r="K41" s="568"/>
      <c r="L41" s="568"/>
      <c r="M41" s="568"/>
      <c r="N41" s="568"/>
      <c r="O41" s="568"/>
      <c r="P41" s="568"/>
      <c r="Q41" s="568"/>
      <c r="R41" s="568"/>
      <c r="S41" s="568"/>
      <c r="T41" s="568"/>
      <c r="U41" s="568"/>
      <c r="V41" s="568"/>
      <c r="W41" s="980"/>
      <c r="X41" s="980"/>
      <c r="Y41" s="563"/>
    </row>
    <row r="42" spans="1:25" ht="15.75">
      <c r="A42" s="563"/>
      <c r="B42" s="148"/>
      <c r="C42" s="607" t="s">
        <v>1538</v>
      </c>
      <c r="D42" s="978" t="s">
        <v>69</v>
      </c>
      <c r="E42" s="978"/>
      <c r="F42" s="978"/>
      <c r="G42" s="978"/>
      <c r="H42" s="978"/>
      <c r="I42" s="978"/>
      <c r="J42" s="978"/>
      <c r="K42" s="978"/>
      <c r="L42" s="978"/>
      <c r="M42" s="978"/>
      <c r="N42" s="978"/>
      <c r="O42" s="978"/>
      <c r="P42" s="978"/>
      <c r="Q42" s="978"/>
      <c r="R42" s="978"/>
      <c r="S42" s="978"/>
      <c r="T42" s="978"/>
      <c r="U42" s="978"/>
      <c r="V42" s="978"/>
      <c r="W42" s="980"/>
      <c r="X42" s="980"/>
      <c r="Y42" s="563"/>
    </row>
    <row r="43" spans="1:25" ht="15.75" customHeight="1">
      <c r="A43" s="563"/>
      <c r="B43" s="148"/>
      <c r="C43" s="607" t="s">
        <v>1539</v>
      </c>
      <c r="D43" s="978" t="s">
        <v>70</v>
      </c>
      <c r="E43" s="979"/>
      <c r="F43" s="979"/>
      <c r="G43" s="979"/>
      <c r="H43" s="979"/>
      <c r="I43" s="979"/>
      <c r="J43" s="979"/>
      <c r="K43" s="979"/>
      <c r="L43" s="979"/>
      <c r="M43" s="979"/>
      <c r="N43" s="979"/>
      <c r="O43" s="979"/>
      <c r="P43" s="979"/>
      <c r="Q43" s="979"/>
      <c r="R43" s="979"/>
      <c r="S43" s="979"/>
      <c r="T43" s="979"/>
      <c r="U43" s="979"/>
      <c r="V43" s="979"/>
      <c r="W43" s="980"/>
      <c r="X43" s="980"/>
      <c r="Y43" s="563"/>
    </row>
    <row r="44" spans="1:25" ht="15.75">
      <c r="A44" s="563"/>
      <c r="B44" s="148"/>
      <c r="C44" s="572" t="s">
        <v>1422</v>
      </c>
      <c r="D44" s="978" t="s">
        <v>1636</v>
      </c>
      <c r="E44" s="979"/>
      <c r="F44" s="979"/>
      <c r="G44" s="979"/>
      <c r="H44" s="979"/>
      <c r="I44" s="979"/>
      <c r="J44" s="979"/>
      <c r="K44" s="979"/>
      <c r="L44" s="979"/>
      <c r="M44" s="979"/>
      <c r="N44" s="979"/>
      <c r="O44" s="979"/>
      <c r="P44" s="979"/>
      <c r="Q44" s="979"/>
      <c r="R44" s="979"/>
      <c r="S44" s="979"/>
      <c r="T44" s="979"/>
      <c r="U44" s="979"/>
      <c r="V44" s="979"/>
      <c r="W44" s="980"/>
      <c r="X44" s="980"/>
      <c r="Y44" s="563"/>
    </row>
    <row r="45" spans="1:25" ht="15.75">
      <c r="A45" s="563"/>
      <c r="B45" s="148"/>
      <c r="C45" s="572" t="s">
        <v>1637</v>
      </c>
      <c r="D45" s="978" t="s">
        <v>1406</v>
      </c>
      <c r="E45" s="979"/>
      <c r="F45" s="979"/>
      <c r="G45" s="979"/>
      <c r="H45" s="979"/>
      <c r="I45" s="979"/>
      <c r="J45" s="979"/>
      <c r="K45" s="979"/>
      <c r="L45" s="979"/>
      <c r="M45" s="979"/>
      <c r="N45" s="979"/>
      <c r="O45" s="979"/>
      <c r="P45" s="979"/>
      <c r="Q45" s="979"/>
      <c r="R45" s="979"/>
      <c r="S45" s="979"/>
      <c r="T45" s="979"/>
      <c r="U45" s="979"/>
      <c r="V45" s="979"/>
      <c r="W45" s="980"/>
      <c r="X45" s="980"/>
      <c r="Y45" s="563"/>
    </row>
    <row r="46" spans="1:25" ht="15.75">
      <c r="A46" s="563"/>
      <c r="B46" s="1010" t="s">
        <v>1632</v>
      </c>
      <c r="C46" s="1010"/>
      <c r="D46" s="1010"/>
      <c r="E46" s="1010"/>
      <c r="F46" s="1010"/>
      <c r="G46" s="1010"/>
      <c r="H46" s="1010"/>
      <c r="I46" s="1010"/>
      <c r="J46" s="1010"/>
      <c r="K46" s="1010"/>
      <c r="L46" s="1010"/>
      <c r="M46" s="1010"/>
      <c r="N46" s="1010"/>
      <c r="O46" s="1010"/>
      <c r="P46" s="1010"/>
      <c r="Q46" s="1010"/>
      <c r="R46" s="1010"/>
      <c r="S46" s="1010"/>
      <c r="T46" s="1010"/>
      <c r="U46" s="1010"/>
      <c r="V46" s="1010"/>
      <c r="W46" s="980"/>
      <c r="X46" s="980"/>
      <c r="Y46" s="563"/>
    </row>
    <row r="47" spans="1:25" ht="15.75">
      <c r="A47" s="563"/>
      <c r="B47" s="148"/>
      <c r="C47" s="148"/>
      <c r="D47" s="148"/>
      <c r="E47" s="148"/>
      <c r="F47" s="148"/>
      <c r="G47" s="148"/>
      <c r="H47" s="148"/>
      <c r="I47" s="148"/>
      <c r="J47" s="148"/>
      <c r="K47" s="148"/>
      <c r="L47" s="148"/>
      <c r="M47" s="148"/>
      <c r="N47" s="570"/>
      <c r="P47" s="567"/>
      <c r="Q47" s="567"/>
      <c r="R47" s="567"/>
      <c r="S47" s="567"/>
      <c r="T47" s="567"/>
      <c r="U47" s="567"/>
      <c r="V47" s="567"/>
      <c r="W47" s="567"/>
      <c r="X47" s="567"/>
      <c r="Y47" s="563"/>
    </row>
    <row r="48" spans="1:25" ht="15.75">
      <c r="A48" s="563"/>
      <c r="B48" s="148"/>
      <c r="C48" s="148"/>
      <c r="D48" s="148"/>
      <c r="E48" s="148"/>
      <c r="F48" s="148"/>
      <c r="G48" s="148"/>
      <c r="H48" s="148"/>
      <c r="I48" s="148"/>
      <c r="J48" s="148"/>
      <c r="K48" s="148"/>
      <c r="L48" s="148"/>
      <c r="M48" s="148"/>
      <c r="N48" s="570"/>
      <c r="P48" s="567"/>
      <c r="Q48" s="567"/>
      <c r="R48" s="567"/>
      <c r="S48" s="567"/>
      <c r="T48" s="567"/>
      <c r="U48" s="567"/>
      <c r="V48" s="567"/>
      <c r="W48" s="567"/>
      <c r="X48" s="567"/>
      <c r="Y48" s="563"/>
    </row>
    <row r="49" spans="1:25" ht="15.75">
      <c r="A49" s="563"/>
      <c r="B49" s="148"/>
      <c r="C49" s="148"/>
      <c r="D49" s="148"/>
      <c r="E49" s="148"/>
      <c r="F49" s="148"/>
      <c r="G49" s="148"/>
      <c r="H49" s="148"/>
      <c r="I49" s="148"/>
      <c r="J49" s="148"/>
      <c r="K49" s="148"/>
      <c r="L49" s="148"/>
      <c r="M49" s="148"/>
      <c r="N49" s="570"/>
      <c r="P49" s="567"/>
      <c r="Q49" s="567"/>
      <c r="R49" s="567"/>
      <c r="S49" s="567"/>
      <c r="T49" s="567"/>
      <c r="U49" s="567"/>
      <c r="V49" s="567"/>
      <c r="W49" s="567"/>
      <c r="X49" s="567"/>
      <c r="Y49" s="563"/>
    </row>
    <row r="50" spans="1:25" ht="15.75">
      <c r="A50" s="563"/>
      <c r="B50" s="148"/>
      <c r="C50" s="148"/>
      <c r="D50" s="148"/>
      <c r="E50" s="148"/>
      <c r="F50" s="148"/>
      <c r="G50" s="148"/>
      <c r="H50" s="148"/>
      <c r="I50" s="148"/>
      <c r="J50" s="148"/>
      <c r="K50" s="148"/>
      <c r="L50" s="148"/>
      <c r="M50" s="148"/>
      <c r="N50" s="570"/>
      <c r="P50" s="567"/>
      <c r="Q50" s="567"/>
      <c r="R50" s="567"/>
      <c r="S50" s="567"/>
      <c r="T50" s="567"/>
      <c r="U50" s="567"/>
      <c r="V50" s="567"/>
      <c r="W50" s="567"/>
      <c r="X50" s="567"/>
      <c r="Y50" s="563"/>
    </row>
    <row r="51" spans="1:25" ht="15.75">
      <c r="A51" s="563"/>
      <c r="B51" s="148"/>
      <c r="C51" s="148"/>
      <c r="D51" s="148"/>
      <c r="E51" s="148"/>
      <c r="F51" s="148"/>
      <c r="G51" s="148"/>
      <c r="H51" s="148"/>
      <c r="I51" s="148"/>
      <c r="J51" s="148"/>
      <c r="K51" s="148"/>
      <c r="L51" s="148"/>
      <c r="M51" s="148"/>
      <c r="N51" s="570"/>
      <c r="P51" s="567"/>
      <c r="Q51" s="567"/>
      <c r="R51" s="567"/>
      <c r="S51" s="567"/>
      <c r="T51" s="567"/>
      <c r="U51" s="567"/>
      <c r="V51" s="567"/>
      <c r="W51" s="567"/>
      <c r="X51" s="567"/>
      <c r="Y51" s="563"/>
    </row>
    <row r="52" spans="1:25" ht="15.75">
      <c r="A52" s="563"/>
      <c r="B52" s="148"/>
      <c r="C52" s="148"/>
      <c r="D52" s="148"/>
      <c r="E52" s="148"/>
      <c r="F52" s="148"/>
      <c r="G52" s="148"/>
      <c r="H52" s="148"/>
      <c r="I52" s="148"/>
      <c r="J52" s="148"/>
      <c r="K52" s="148"/>
      <c r="L52" s="148"/>
      <c r="M52" s="148"/>
      <c r="N52" s="570"/>
      <c r="P52" s="567"/>
      <c r="Q52" s="567"/>
      <c r="R52" s="567"/>
      <c r="S52" s="567"/>
      <c r="T52" s="567"/>
      <c r="U52" s="567"/>
      <c r="V52" s="567"/>
      <c r="W52" s="567"/>
      <c r="X52" s="567"/>
      <c r="Y52" s="563"/>
    </row>
    <row r="53" spans="1:25" ht="15.75">
      <c r="A53" s="563"/>
      <c r="B53" s="148"/>
      <c r="C53" s="148"/>
      <c r="D53" s="148"/>
      <c r="E53" s="148"/>
      <c r="F53" s="148"/>
      <c r="G53" s="148"/>
      <c r="H53" s="148"/>
      <c r="I53" s="148"/>
      <c r="J53" s="148"/>
      <c r="K53" s="148"/>
      <c r="L53" s="148"/>
      <c r="M53" s="148"/>
      <c r="N53" s="570"/>
      <c r="P53" s="567"/>
      <c r="Q53" s="567"/>
      <c r="R53" s="567"/>
      <c r="S53" s="567"/>
      <c r="T53" s="567"/>
      <c r="U53" s="567"/>
      <c r="V53" s="567"/>
      <c r="W53" s="567"/>
      <c r="X53" s="567"/>
      <c r="Y53" s="563"/>
    </row>
    <row r="54" spans="1:25" ht="15.75">
      <c r="A54" s="563"/>
      <c r="B54" s="148"/>
      <c r="C54" s="148"/>
      <c r="D54" s="148"/>
      <c r="E54" s="148"/>
      <c r="F54" s="148"/>
      <c r="G54" s="148"/>
      <c r="H54" s="148"/>
      <c r="I54" s="148"/>
      <c r="J54" s="148"/>
      <c r="K54" s="148"/>
      <c r="L54" s="148"/>
      <c r="M54" s="148"/>
      <c r="N54" s="570"/>
      <c r="P54" s="567"/>
      <c r="Q54" s="567"/>
      <c r="R54" s="567"/>
      <c r="S54" s="567"/>
      <c r="T54" s="567"/>
      <c r="U54" s="567"/>
      <c r="V54" s="567"/>
      <c r="W54" s="567"/>
      <c r="X54" s="567"/>
      <c r="Y54" s="563"/>
    </row>
    <row r="55" spans="1:25" ht="15.75">
      <c r="A55" s="563"/>
      <c r="B55" s="148"/>
      <c r="C55" s="148"/>
      <c r="D55" s="148"/>
      <c r="E55" s="148"/>
      <c r="F55" s="148"/>
      <c r="G55" s="148"/>
      <c r="H55" s="148"/>
      <c r="I55" s="148"/>
      <c r="J55" s="148"/>
      <c r="K55" s="148"/>
      <c r="L55" s="148"/>
      <c r="M55" s="148"/>
      <c r="N55" s="570"/>
      <c r="P55" s="567"/>
      <c r="Q55" s="567"/>
      <c r="R55" s="567"/>
      <c r="S55" s="567"/>
      <c r="T55" s="567"/>
      <c r="U55" s="567"/>
      <c r="V55" s="567"/>
      <c r="W55" s="567"/>
      <c r="X55" s="567"/>
      <c r="Y55" s="563"/>
    </row>
    <row r="56" spans="1:25" ht="15.75">
      <c r="A56" s="563"/>
      <c r="B56" s="148"/>
      <c r="C56" s="148"/>
      <c r="D56" s="148"/>
      <c r="E56" s="148"/>
      <c r="F56" s="148"/>
      <c r="G56" s="148"/>
      <c r="H56" s="148"/>
      <c r="I56" s="148"/>
      <c r="J56" s="148"/>
      <c r="K56" s="148"/>
      <c r="L56" s="148"/>
      <c r="M56" s="148"/>
      <c r="N56" s="570"/>
      <c r="P56" s="567"/>
      <c r="Q56" s="567"/>
      <c r="R56" s="567"/>
      <c r="S56" s="567"/>
      <c r="T56" s="567"/>
      <c r="U56" s="567"/>
      <c r="V56" s="567"/>
      <c r="W56" s="567"/>
      <c r="X56" s="567"/>
      <c r="Y56" s="563"/>
    </row>
    <row r="57" spans="1:25" ht="15.75">
      <c r="A57" s="563"/>
      <c r="B57" s="148"/>
      <c r="C57" s="148"/>
      <c r="D57" s="148"/>
      <c r="E57" s="148"/>
      <c r="F57" s="148"/>
      <c r="G57" s="148"/>
      <c r="H57" s="148"/>
      <c r="I57" s="148"/>
      <c r="J57" s="148"/>
      <c r="K57" s="148"/>
      <c r="L57" s="148"/>
      <c r="M57" s="148"/>
      <c r="N57" s="570"/>
      <c r="P57" s="567"/>
      <c r="Q57" s="567"/>
      <c r="R57" s="567"/>
      <c r="S57" s="567"/>
      <c r="T57" s="567"/>
      <c r="U57" s="567"/>
      <c r="V57" s="567"/>
      <c r="W57" s="567"/>
      <c r="X57" s="567"/>
      <c r="Y57" s="563"/>
    </row>
    <row r="58" spans="1:25" ht="18">
      <c r="A58" s="573"/>
      <c r="B58" s="573"/>
      <c r="C58" s="573"/>
      <c r="D58" s="981" t="str">
        <f>'2.ISIAN DATA SKPD'!D3</f>
        <v>Pemerintah Kabupaten Wonosobo</v>
      </c>
      <c r="E58" s="981"/>
      <c r="F58" s="981"/>
      <c r="G58" s="981"/>
      <c r="H58" s="981"/>
      <c r="I58" s="981"/>
      <c r="J58" s="981"/>
      <c r="K58" s="981"/>
      <c r="L58" s="981"/>
      <c r="M58" s="981"/>
      <c r="N58" s="981"/>
      <c r="O58" s="981"/>
      <c r="P58" s="981"/>
      <c r="Q58" s="981"/>
      <c r="R58" s="981"/>
      <c r="S58" s="981"/>
      <c r="T58" s="981"/>
      <c r="U58" s="981"/>
      <c r="V58" s="981"/>
      <c r="W58" s="585"/>
      <c r="X58" s="106"/>
      <c r="Y58" s="106"/>
    </row>
    <row r="59" spans="1:25" ht="18">
      <c r="A59" s="573"/>
      <c r="B59" s="573"/>
      <c r="C59" s="573"/>
      <c r="D59" s="981" t="str">
        <f>'2.ISIAN DATA SKPD'!D2</f>
        <v>Kecamatan Kaliwiro</v>
      </c>
      <c r="E59" s="981"/>
      <c r="F59" s="981"/>
      <c r="G59" s="981"/>
      <c r="H59" s="981"/>
      <c r="I59" s="981"/>
      <c r="J59" s="981"/>
      <c r="K59" s="981"/>
      <c r="L59" s="981"/>
      <c r="M59" s="981"/>
      <c r="N59" s="981"/>
      <c r="O59" s="981"/>
      <c r="P59" s="981"/>
      <c r="Q59" s="981"/>
      <c r="R59" s="981"/>
      <c r="S59" s="981"/>
      <c r="T59" s="981"/>
      <c r="U59" s="981"/>
      <c r="V59" s="981"/>
      <c r="W59" s="106"/>
      <c r="X59" s="106"/>
      <c r="Y59" s="106"/>
    </row>
    <row r="60" spans="4:25" ht="15">
      <c r="D60" s="1008" t="str">
        <f>'2.ISIAN DATA SKPD'!D5</f>
        <v>Jl. Wonosobo-Prembun Km 24 Kaliwiro</v>
      </c>
      <c r="E60" s="1008"/>
      <c r="F60" s="1008"/>
      <c r="G60" s="1008"/>
      <c r="H60" s="1008"/>
      <c r="I60" s="1008"/>
      <c r="J60" s="1008"/>
      <c r="K60" s="1008"/>
      <c r="L60" s="1008"/>
      <c r="M60" s="1008"/>
      <c r="N60" s="1008"/>
      <c r="O60" s="1008"/>
      <c r="P60" s="1008"/>
      <c r="Q60" s="1008"/>
      <c r="R60" s="1008"/>
      <c r="S60" s="1008"/>
      <c r="T60" s="1008"/>
      <c r="U60" s="1008"/>
      <c r="V60" s="1008"/>
      <c r="W60" s="106"/>
      <c r="X60" s="106"/>
      <c r="Y60" s="106"/>
    </row>
    <row r="61" spans="1:25" ht="18" customHeight="1">
      <c r="A61" s="574"/>
      <c r="B61" s="574"/>
      <c r="C61" s="574"/>
      <c r="D61" s="1009" t="str">
        <f>"Telepon : "&amp;'2.ISIAN DATA SKPD'!D6&amp;", Faximile : "&amp;'2.ISIAN DATA SKPD'!D7&amp;""</f>
        <v>Telepon : , Faximile : </v>
      </c>
      <c r="E61" s="1009"/>
      <c r="F61" s="1009"/>
      <c r="G61" s="1009"/>
      <c r="H61" s="1009"/>
      <c r="I61" s="1009"/>
      <c r="J61" s="1009"/>
      <c r="K61" s="1009"/>
      <c r="L61" s="1009"/>
      <c r="M61" s="1009"/>
      <c r="N61" s="1009"/>
      <c r="O61" s="1009"/>
      <c r="P61" s="1009"/>
      <c r="Q61" s="1009"/>
      <c r="R61" s="1009"/>
      <c r="S61" s="1009"/>
      <c r="T61" s="1009"/>
      <c r="U61" s="1009"/>
      <c r="V61" s="1009"/>
      <c r="W61" s="586"/>
      <c r="X61" s="586"/>
      <c r="Y61" s="586"/>
    </row>
    <row r="62" spans="1:25" ht="18" customHeight="1">
      <c r="A62" s="582"/>
      <c r="B62" s="582"/>
      <c r="C62" s="582"/>
      <c r="D62" s="582"/>
      <c r="E62" s="583"/>
      <c r="F62" s="584"/>
      <c r="G62" s="584"/>
      <c r="H62" s="584"/>
      <c r="I62" s="584"/>
      <c r="J62" s="584"/>
      <c r="K62" s="584"/>
      <c r="L62" s="584"/>
      <c r="M62" s="584"/>
      <c r="N62" s="584"/>
      <c r="O62" s="584"/>
      <c r="P62" s="584"/>
      <c r="Q62" s="584"/>
      <c r="R62" s="584"/>
      <c r="S62" s="584"/>
      <c r="T62" s="584"/>
      <c r="U62" s="584"/>
      <c r="V62" s="584"/>
      <c r="W62" s="584"/>
      <c r="X62" s="584"/>
      <c r="Y62" s="584"/>
    </row>
    <row r="63" spans="1:26" ht="22.5" customHeight="1">
      <c r="A63" s="984" t="s">
        <v>3</v>
      </c>
      <c r="B63" s="984"/>
      <c r="C63" s="984"/>
      <c r="D63" s="984"/>
      <c r="E63" s="984"/>
      <c r="F63" s="984"/>
      <c r="G63" s="984"/>
      <c r="H63" s="984"/>
      <c r="I63" s="984"/>
      <c r="J63" s="984"/>
      <c r="K63" s="984"/>
      <c r="L63" s="984"/>
      <c r="M63" s="984"/>
      <c r="N63" s="984"/>
      <c r="O63" s="984"/>
      <c r="P63" s="984"/>
      <c r="Q63" s="984"/>
      <c r="R63" s="984"/>
      <c r="S63" s="984"/>
      <c r="T63" s="984"/>
      <c r="U63" s="984"/>
      <c r="V63" s="984"/>
      <c r="W63" s="984"/>
      <c r="X63" s="984"/>
      <c r="Y63" s="984"/>
      <c r="Z63" s="466"/>
    </row>
    <row r="64" spans="1:25" ht="33.75" customHeight="1">
      <c r="A64" s="563"/>
      <c r="B64" s="978" t="str">
        <f>"         Laporan Keuangan SKPD Unit "&amp;'2.ISIAN DATA SKPD'!D2&amp;" Tahun Anggaran "&amp;'2.ISIAN DATA SKPD'!D11&amp;" yang terdiri dari :"</f>
        <v>         Laporan Keuangan SKPD Unit Kecamatan Kaliwiro Tahun Anggaran 2017 yang terdiri dari :</v>
      </c>
      <c r="C64" s="978"/>
      <c r="D64" s="978"/>
      <c r="E64" s="978"/>
      <c r="F64" s="978"/>
      <c r="G64" s="978"/>
      <c r="H64" s="978"/>
      <c r="I64" s="978"/>
      <c r="J64" s="978"/>
      <c r="K64" s="978"/>
      <c r="L64" s="978"/>
      <c r="M64" s="978"/>
      <c r="N64" s="978"/>
      <c r="O64" s="978"/>
      <c r="P64" s="978"/>
      <c r="Q64" s="978"/>
      <c r="R64" s="978"/>
      <c r="S64" s="978"/>
      <c r="T64" s="978"/>
      <c r="U64" s="978"/>
      <c r="V64" s="978"/>
      <c r="W64" s="978"/>
      <c r="X64" s="978"/>
      <c r="Y64" s="563"/>
    </row>
    <row r="65" spans="1:25" ht="18" customHeight="1">
      <c r="A65" s="563"/>
      <c r="B65" s="978" t="s">
        <v>1638</v>
      </c>
      <c r="C65" s="978"/>
      <c r="D65" s="978"/>
      <c r="E65" s="978"/>
      <c r="F65" s="978"/>
      <c r="G65" s="978"/>
      <c r="H65" s="978"/>
      <c r="I65" s="978"/>
      <c r="J65" s="978"/>
      <c r="K65" s="978"/>
      <c r="L65" s="978"/>
      <c r="M65" s="978"/>
      <c r="N65" s="978"/>
      <c r="O65" s="978"/>
      <c r="P65" s="978"/>
      <c r="Q65" s="978"/>
      <c r="R65" s="978"/>
      <c r="S65" s="978"/>
      <c r="T65" s="978"/>
      <c r="U65" s="978"/>
      <c r="V65" s="978"/>
      <c r="W65" s="978"/>
      <c r="X65" s="978"/>
      <c r="Y65" s="563"/>
    </row>
    <row r="66" spans="1:25" ht="18" customHeight="1">
      <c r="A66" s="563"/>
      <c r="B66" s="978" t="s">
        <v>1715</v>
      </c>
      <c r="C66" s="978"/>
      <c r="D66" s="978"/>
      <c r="E66" s="978"/>
      <c r="F66" s="978"/>
      <c r="G66" s="978"/>
      <c r="H66" s="978"/>
      <c r="I66" s="978"/>
      <c r="J66" s="978"/>
      <c r="K66" s="978"/>
      <c r="L66" s="978"/>
      <c r="M66" s="978"/>
      <c r="N66" s="978"/>
      <c r="O66" s="978"/>
      <c r="P66" s="978"/>
      <c r="Q66" s="978"/>
      <c r="R66" s="978"/>
      <c r="S66" s="978"/>
      <c r="T66" s="978"/>
      <c r="U66" s="978"/>
      <c r="V66" s="978"/>
      <c r="W66" s="978"/>
      <c r="X66" s="978"/>
      <c r="Y66" s="563"/>
    </row>
    <row r="67" spans="1:25" ht="18" customHeight="1">
      <c r="A67" s="563"/>
      <c r="B67" s="978" t="s">
        <v>1716</v>
      </c>
      <c r="C67" s="978"/>
      <c r="D67" s="978"/>
      <c r="E67" s="978"/>
      <c r="F67" s="978"/>
      <c r="G67" s="978"/>
      <c r="H67" s="978"/>
      <c r="I67" s="978"/>
      <c r="J67" s="978"/>
      <c r="K67" s="978"/>
      <c r="L67" s="978"/>
      <c r="M67" s="978"/>
      <c r="N67" s="978"/>
      <c r="O67" s="978"/>
      <c r="P67" s="978"/>
      <c r="Q67" s="978"/>
      <c r="R67" s="978"/>
      <c r="S67" s="978"/>
      <c r="T67" s="978"/>
      <c r="U67" s="978"/>
      <c r="V67" s="978"/>
      <c r="W67" s="978"/>
      <c r="X67" s="978"/>
      <c r="Y67" s="563"/>
    </row>
    <row r="68" spans="1:25" ht="18" customHeight="1">
      <c r="A68" s="563"/>
      <c r="B68" s="978" t="s">
        <v>1717</v>
      </c>
      <c r="C68" s="978"/>
      <c r="D68" s="978"/>
      <c r="E68" s="978"/>
      <c r="F68" s="978"/>
      <c r="G68" s="978"/>
      <c r="H68" s="978"/>
      <c r="I68" s="978"/>
      <c r="J68" s="978"/>
      <c r="K68" s="978"/>
      <c r="L68" s="978"/>
      <c r="M68" s="978"/>
      <c r="N68" s="978"/>
      <c r="O68" s="978"/>
      <c r="P68" s="978"/>
      <c r="Q68" s="978"/>
      <c r="R68" s="978"/>
      <c r="S68" s="978"/>
      <c r="T68" s="978"/>
      <c r="U68" s="978"/>
      <c r="V68" s="978"/>
      <c r="W68" s="978"/>
      <c r="X68" s="978"/>
      <c r="Y68" s="563"/>
    </row>
    <row r="69" spans="1:25" ht="18" customHeight="1">
      <c r="A69" s="563"/>
      <c r="B69" s="978" t="s">
        <v>1718</v>
      </c>
      <c r="C69" s="978"/>
      <c r="D69" s="978"/>
      <c r="E69" s="978"/>
      <c r="F69" s="978"/>
      <c r="G69" s="978"/>
      <c r="H69" s="978"/>
      <c r="I69" s="978"/>
      <c r="J69" s="978"/>
      <c r="K69" s="978"/>
      <c r="L69" s="978"/>
      <c r="M69" s="978"/>
      <c r="N69" s="978"/>
      <c r="O69" s="978"/>
      <c r="P69" s="978"/>
      <c r="Q69" s="978"/>
      <c r="R69" s="978"/>
      <c r="S69" s="978"/>
      <c r="T69" s="978"/>
      <c r="U69" s="978"/>
      <c r="V69" s="978"/>
      <c r="W69" s="978"/>
      <c r="X69" s="978"/>
      <c r="Y69" s="563"/>
    </row>
    <row r="70" spans="1:25" ht="25.5" customHeight="1">
      <c r="A70" s="563"/>
      <c r="B70" s="978" t="s">
        <v>1212</v>
      </c>
      <c r="C70" s="978"/>
      <c r="D70" s="978"/>
      <c r="E70" s="978"/>
      <c r="F70" s="978"/>
      <c r="G70" s="978"/>
      <c r="H70" s="978"/>
      <c r="I70" s="978"/>
      <c r="J70" s="978"/>
      <c r="K70" s="978"/>
      <c r="L70" s="978"/>
      <c r="M70" s="978"/>
      <c r="N70" s="978"/>
      <c r="O70" s="978"/>
      <c r="P70" s="978"/>
      <c r="Q70" s="978"/>
      <c r="R70" s="978"/>
      <c r="S70" s="978"/>
      <c r="T70" s="978"/>
      <c r="U70" s="978"/>
      <c r="V70" s="978"/>
      <c r="W70" s="978"/>
      <c r="X70" s="978"/>
      <c r="Y70" s="563"/>
    </row>
    <row r="71" spans="1:25" ht="11.25" customHeight="1">
      <c r="A71" s="563"/>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563"/>
    </row>
    <row r="72" spans="1:25" ht="85.5" customHeight="1">
      <c r="A72" s="563"/>
      <c r="B72" s="1006" t="s">
        <v>1639</v>
      </c>
      <c r="C72" s="1006"/>
      <c r="D72" s="1006"/>
      <c r="E72" s="1006"/>
      <c r="F72" s="1006"/>
      <c r="G72" s="1006"/>
      <c r="H72" s="1006"/>
      <c r="I72" s="1006"/>
      <c r="J72" s="1006"/>
      <c r="K72" s="1006"/>
      <c r="L72" s="1006"/>
      <c r="M72" s="1006"/>
      <c r="N72" s="1006"/>
      <c r="O72" s="1006"/>
      <c r="P72" s="1006"/>
      <c r="Q72" s="1006"/>
      <c r="R72" s="1006"/>
      <c r="S72" s="1006"/>
      <c r="T72" s="1006"/>
      <c r="U72" s="1006"/>
      <c r="V72" s="1006"/>
      <c r="W72" s="1006"/>
      <c r="X72" s="1006"/>
      <c r="Y72" s="563"/>
    </row>
    <row r="73" spans="1:25" ht="19.5" customHeight="1">
      <c r="A73" s="563"/>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563"/>
    </row>
    <row r="74" spans="1:25" ht="16.5" customHeight="1">
      <c r="A74" s="563"/>
      <c r="B74" s="148"/>
      <c r="C74" s="148"/>
      <c r="D74" s="148"/>
      <c r="E74" s="148"/>
      <c r="F74" s="148"/>
      <c r="G74" s="148"/>
      <c r="H74" s="148"/>
      <c r="I74" s="148"/>
      <c r="J74" s="148"/>
      <c r="K74" s="148"/>
      <c r="L74" s="148"/>
      <c r="M74" s="148"/>
      <c r="N74" s="1001" t="str">
        <f>N10</f>
        <v>Wonosobo, 15 Februari 2018</v>
      </c>
      <c r="O74" s="1001"/>
      <c r="P74" s="1001"/>
      <c r="Q74" s="1001"/>
      <c r="R74" s="1001"/>
      <c r="S74" s="1001"/>
      <c r="T74" s="1001"/>
      <c r="U74" s="1001"/>
      <c r="V74" s="1001"/>
      <c r="W74" s="1001"/>
      <c r="X74" s="1001"/>
      <c r="Y74" s="563"/>
    </row>
    <row r="75" spans="1:25" ht="16.5" customHeight="1">
      <c r="A75" s="563"/>
      <c r="B75" s="148"/>
      <c r="C75" s="148"/>
      <c r="D75" s="148"/>
      <c r="E75" s="148"/>
      <c r="F75" s="148"/>
      <c r="G75" s="148"/>
      <c r="H75" s="148"/>
      <c r="I75" s="148"/>
      <c r="J75" s="148"/>
      <c r="K75" s="148"/>
      <c r="L75" s="148"/>
      <c r="M75" s="148"/>
      <c r="N75" s="989" t="str">
        <f>N11</f>
        <v>Kepala Kecamatan Kaliwiro,</v>
      </c>
      <c r="O75" s="989"/>
      <c r="P75" s="989"/>
      <c r="Q75" s="989"/>
      <c r="R75" s="989"/>
      <c r="S75" s="989"/>
      <c r="T75" s="989"/>
      <c r="U75" s="989"/>
      <c r="V75" s="989"/>
      <c r="W75" s="989"/>
      <c r="X75" s="989"/>
      <c r="Y75" s="563"/>
    </row>
    <row r="76" spans="1:25" ht="16.5" customHeight="1">
      <c r="A76" s="563"/>
      <c r="B76" s="148"/>
      <c r="C76" s="148"/>
      <c r="D76" s="148"/>
      <c r="E76" s="148"/>
      <c r="F76" s="148"/>
      <c r="G76" s="148"/>
      <c r="H76" s="148"/>
      <c r="I76" s="148"/>
      <c r="J76" s="148"/>
      <c r="K76" s="148"/>
      <c r="L76" s="148"/>
      <c r="M76" s="148"/>
      <c r="N76" s="148"/>
      <c r="O76" s="149"/>
      <c r="P76" s="149"/>
      <c r="Q76" s="149"/>
      <c r="R76" s="149"/>
      <c r="S76" s="149"/>
      <c r="T76" s="149"/>
      <c r="U76" s="149"/>
      <c r="V76" s="149"/>
      <c r="W76" s="149"/>
      <c r="X76" s="149"/>
      <c r="Y76" s="563"/>
    </row>
    <row r="77" spans="1:25" ht="16.5" customHeight="1">
      <c r="A77" s="563"/>
      <c r="B77" s="148"/>
      <c r="C77" s="148"/>
      <c r="D77" s="148"/>
      <c r="E77" s="148"/>
      <c r="F77" s="148"/>
      <c r="G77" s="148"/>
      <c r="H77" s="148"/>
      <c r="I77" s="148"/>
      <c r="J77" s="148"/>
      <c r="K77" s="148"/>
      <c r="L77" s="148"/>
      <c r="M77" s="148"/>
      <c r="N77" s="148"/>
      <c r="O77" s="149"/>
      <c r="P77" s="149"/>
      <c r="Q77" s="149"/>
      <c r="R77" s="149"/>
      <c r="S77" s="149"/>
      <c r="T77" s="149"/>
      <c r="U77" s="149"/>
      <c r="V77" s="149"/>
      <c r="W77" s="149"/>
      <c r="X77" s="149"/>
      <c r="Y77" s="563"/>
    </row>
    <row r="78" spans="1:25" ht="16.5" customHeight="1">
      <c r="A78" s="563"/>
      <c r="B78" s="148"/>
      <c r="C78" s="148"/>
      <c r="D78" s="148"/>
      <c r="E78" s="148"/>
      <c r="F78" s="148"/>
      <c r="G78" s="148"/>
      <c r="H78" s="148"/>
      <c r="I78" s="148"/>
      <c r="J78" s="148"/>
      <c r="K78" s="148"/>
      <c r="L78" s="148"/>
      <c r="M78" s="148"/>
      <c r="N78" s="148"/>
      <c r="O78" s="149"/>
      <c r="P78" s="149"/>
      <c r="Q78" s="149"/>
      <c r="R78" s="149"/>
      <c r="S78" s="149"/>
      <c r="T78" s="149"/>
      <c r="U78" s="149"/>
      <c r="V78" s="149"/>
      <c r="W78" s="149"/>
      <c r="X78" s="149"/>
      <c r="Y78" s="563"/>
    </row>
    <row r="79" spans="1:25" ht="16.5" customHeight="1">
      <c r="A79" s="563"/>
      <c r="B79" s="148"/>
      <c r="C79" s="148"/>
      <c r="D79" s="148"/>
      <c r="E79" s="148"/>
      <c r="F79" s="148"/>
      <c r="G79" s="148"/>
      <c r="H79" s="148"/>
      <c r="I79" s="148"/>
      <c r="J79" s="148"/>
      <c r="K79" s="148"/>
      <c r="L79" s="148"/>
      <c r="M79" s="148"/>
      <c r="N79" s="995" t="str">
        <f>N15</f>
        <v>Hemi widiyanto, S.Sos,MM</v>
      </c>
      <c r="O79" s="995"/>
      <c r="P79" s="995"/>
      <c r="Q79" s="995"/>
      <c r="R79" s="995"/>
      <c r="S79" s="995"/>
      <c r="T79" s="995"/>
      <c r="U79" s="995"/>
      <c r="V79" s="995"/>
      <c r="W79" s="995"/>
      <c r="X79" s="995"/>
      <c r="Y79" s="563"/>
    </row>
    <row r="80" spans="1:25" ht="16.5" customHeight="1">
      <c r="A80" s="563"/>
      <c r="B80" s="148"/>
      <c r="C80" s="148"/>
      <c r="D80" s="148"/>
      <c r="E80" s="148"/>
      <c r="F80" s="148"/>
      <c r="G80" s="148"/>
      <c r="H80" s="148"/>
      <c r="I80" s="148"/>
      <c r="J80" s="148"/>
      <c r="K80" s="148"/>
      <c r="L80" s="148"/>
      <c r="M80" s="568"/>
      <c r="N80" s="1005" t="str">
        <f>N16</f>
        <v>NIP. 196010221986071001</v>
      </c>
      <c r="O80" s="1005"/>
      <c r="P80" s="1005"/>
      <c r="Q80" s="1005"/>
      <c r="R80" s="1005"/>
      <c r="S80" s="1005"/>
      <c r="T80" s="1005"/>
      <c r="U80" s="1005"/>
      <c r="V80" s="1005"/>
      <c r="W80" s="1005"/>
      <c r="X80" s="1005"/>
      <c r="Y80" s="563"/>
    </row>
    <row r="81" spans="1:25" ht="16.5" customHeight="1">
      <c r="A81" s="563"/>
      <c r="B81" s="148"/>
      <c r="C81" s="148"/>
      <c r="D81" s="148"/>
      <c r="E81" s="148"/>
      <c r="F81" s="148"/>
      <c r="G81" s="148"/>
      <c r="H81" s="148"/>
      <c r="I81" s="148"/>
      <c r="J81" s="148"/>
      <c r="K81" s="148"/>
      <c r="L81" s="148"/>
      <c r="M81" s="148"/>
      <c r="O81" s="466"/>
      <c r="P81" s="149"/>
      <c r="Q81" s="149"/>
      <c r="R81" s="149"/>
      <c r="S81" s="149"/>
      <c r="T81" s="149"/>
      <c r="U81" s="149"/>
      <c r="V81" s="149"/>
      <c r="W81" s="149"/>
      <c r="X81" s="149"/>
      <c r="Y81" s="563"/>
    </row>
    <row r="82" spans="1:25" ht="22.5" customHeight="1">
      <c r="A82" s="563"/>
      <c r="B82" s="148"/>
      <c r="C82" s="148"/>
      <c r="D82" s="148"/>
      <c r="E82" s="148"/>
      <c r="F82" s="148"/>
      <c r="G82" s="148"/>
      <c r="H82" s="148"/>
      <c r="I82" s="148"/>
      <c r="J82" s="148"/>
      <c r="K82" s="148"/>
      <c r="L82" s="148"/>
      <c r="M82" s="148"/>
      <c r="N82" s="148"/>
      <c r="O82" s="575"/>
      <c r="P82" s="575"/>
      <c r="Q82" s="575"/>
      <c r="R82" s="575"/>
      <c r="S82" s="575"/>
      <c r="T82" s="575"/>
      <c r="U82" s="575"/>
      <c r="V82" s="575"/>
      <c r="W82" s="575"/>
      <c r="X82" s="575"/>
      <c r="Y82" s="563"/>
    </row>
    <row r="83" spans="1:25" ht="54" customHeight="1" hidden="1" thickBot="1">
      <c r="A83" s="576"/>
      <c r="B83" s="577"/>
      <c r="C83" s="577"/>
      <c r="D83" s="577"/>
      <c r="E83" s="577"/>
      <c r="F83" s="577"/>
      <c r="G83" s="577"/>
      <c r="H83" s="577"/>
      <c r="I83" s="577"/>
      <c r="J83" s="577"/>
      <c r="K83" s="577"/>
      <c r="L83" s="577"/>
      <c r="M83" s="577"/>
      <c r="N83" s="577"/>
      <c r="O83" s="1000"/>
      <c r="P83" s="1000"/>
      <c r="Q83" s="1000"/>
      <c r="R83" s="1000"/>
      <c r="S83" s="1000"/>
      <c r="T83" s="1000"/>
      <c r="U83" s="1000"/>
      <c r="V83" s="1000"/>
      <c r="W83" s="1000"/>
      <c r="X83" s="1000"/>
      <c r="Y83" s="466"/>
    </row>
    <row r="84" spans="15:25" ht="16.5" customHeight="1">
      <c r="O84" s="1004"/>
      <c r="P84" s="1004"/>
      <c r="Q84" s="1004"/>
      <c r="R84" s="1004"/>
      <c r="S84" s="1004"/>
      <c r="T84" s="1004"/>
      <c r="U84" s="1004"/>
      <c r="V84" s="1004"/>
      <c r="W84" s="1004"/>
      <c r="X84" s="1004"/>
      <c r="Y84" s="466"/>
    </row>
    <row r="85" spans="15:24" ht="16.5" customHeight="1">
      <c r="O85" s="1007"/>
      <c r="P85" s="1007"/>
      <c r="Q85" s="1007"/>
      <c r="R85" s="1007"/>
      <c r="S85" s="1007"/>
      <c r="T85" s="1007"/>
      <c r="U85" s="1007"/>
      <c r="V85" s="1007"/>
      <c r="W85" s="1007"/>
      <c r="X85" s="1007"/>
    </row>
    <row r="86" spans="15:24" ht="16.5" customHeight="1">
      <c r="O86" s="578"/>
      <c r="P86" s="578"/>
      <c r="Q86" s="578"/>
      <c r="R86" s="578"/>
      <c r="S86" s="578"/>
      <c r="T86" s="578"/>
      <c r="U86" s="578"/>
      <c r="V86" s="578"/>
      <c r="W86" s="578"/>
      <c r="X86" s="578"/>
    </row>
    <row r="87" spans="1:25" ht="22.5" customHeight="1">
      <c r="A87" s="990" t="s">
        <v>73</v>
      </c>
      <c r="B87" s="990"/>
      <c r="C87" s="990"/>
      <c r="D87" s="990"/>
      <c r="E87" s="990"/>
      <c r="F87" s="990"/>
      <c r="G87" s="990"/>
      <c r="H87" s="990"/>
      <c r="I87" s="990"/>
      <c r="J87" s="990"/>
      <c r="K87" s="990"/>
      <c r="L87" s="990"/>
      <c r="M87" s="990"/>
      <c r="N87" s="990"/>
      <c r="O87" s="990"/>
      <c r="P87" s="990"/>
      <c r="Q87" s="990"/>
      <c r="R87" s="990"/>
      <c r="S87" s="990"/>
      <c r="T87" s="990"/>
      <c r="U87" s="990"/>
      <c r="V87" s="990"/>
      <c r="W87" s="990"/>
      <c r="X87" s="990"/>
      <c r="Y87" s="990"/>
    </row>
    <row r="88" spans="1:50" s="105" customFormat="1" ht="7.5" customHeight="1">
      <c r="A88" s="983"/>
      <c r="B88" s="983"/>
      <c r="C88" s="983"/>
      <c r="D88" s="983"/>
      <c r="E88" s="983"/>
      <c r="F88" s="983"/>
      <c r="G88" s="983"/>
      <c r="H88" s="983"/>
      <c r="I88" s="983"/>
      <c r="J88" s="983"/>
      <c r="K88" s="983"/>
      <c r="L88" s="983"/>
      <c r="M88" s="983"/>
      <c r="N88" s="983"/>
      <c r="O88" s="983"/>
      <c r="P88" s="983"/>
      <c r="Q88" s="983"/>
      <c r="R88" s="983"/>
      <c r="S88" s="983"/>
      <c r="T88" s="983"/>
      <c r="U88" s="983"/>
      <c r="V88" s="983"/>
      <c r="W88" s="983"/>
      <c r="X88" s="983"/>
      <c r="Y88" s="983"/>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105" customFormat="1" ht="8.25" customHeight="1" hidden="1"/>
    <row r="90" spans="1:26" s="105" customFormat="1" ht="65.25" customHeight="1">
      <c r="A90" s="983" t="str">
        <f>"Laporan Keuangan  "&amp;'2.ISIAN DATA SKPD'!D2&amp;" Tahun  "&amp;'2.ISIAN DATA SKPD'!D11&amp;"  ini telah disusun dan disajikan sesuai dengan Peraturan Pemerintah Nomor 71 Tahun 2010 tentang Standar Akuntansi Pemerintahan (SAP) dan berdasarkan kaidah-kaidah pengelolaan keuangan yang sehat di lingkungan pemerintahan. "</f>
        <v>Laporan Keuangan  Kecamatan Kaliwiro Tahun  2017  ini telah disusun dan disajikan sesuai dengan Peraturan Pemerintah Nomor 71 Tahun 2010 tentang Standar Akuntansi Pemerintahan (SAP) dan berdasarkan kaidah-kaidah pengelolaan keuangan yang sehat di lingkungan pemerintahan. </v>
      </c>
      <c r="B90" s="983"/>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120"/>
    </row>
    <row r="91" s="105" customFormat="1" ht="8.25" customHeight="1"/>
    <row r="92" spans="1:2" s="105" customFormat="1" ht="17.25" customHeight="1">
      <c r="A92" s="107" t="s">
        <v>15</v>
      </c>
      <c r="B92" s="116" t="s">
        <v>68</v>
      </c>
    </row>
    <row r="93" spans="2:25" s="105" customFormat="1" ht="47.25" customHeight="1">
      <c r="B93" s="977" t="str">
        <f>"Laporan Realisasi Anggaran menggambarkan perbandingan antara anggaran dengan realisasinya, yang mencakup unsur-unsur Pendapatan-LRA dan Belanja selama periode 1 Januari sampai dengan "&amp;'2.ISIAN DATA SKPD'!D8&amp;"."</f>
        <v>Laporan Realisasi Anggaran menggambarkan perbandingan antara anggaran dengan realisasinya, yang mencakup unsur-unsur Pendapatan-LRA dan Belanja selama periode 1 Januari sampai dengan 31 Desember 2017.</v>
      </c>
      <c r="C93" s="977"/>
      <c r="D93" s="977"/>
      <c r="E93" s="977"/>
      <c r="F93" s="977"/>
      <c r="G93" s="977"/>
      <c r="H93" s="977"/>
      <c r="I93" s="977"/>
      <c r="J93" s="977"/>
      <c r="K93" s="977"/>
      <c r="L93" s="977"/>
      <c r="M93" s="977"/>
      <c r="N93" s="977"/>
      <c r="O93" s="977"/>
      <c r="P93" s="977"/>
      <c r="Q93" s="977"/>
      <c r="R93" s="977"/>
      <c r="S93" s="977"/>
      <c r="T93" s="977"/>
      <c r="U93" s="977"/>
      <c r="V93" s="977"/>
      <c r="W93" s="977"/>
      <c r="X93" s="977"/>
      <c r="Y93" s="977"/>
    </row>
    <row r="94" spans="2:25" s="105" customFormat="1" ht="6" customHeight="1">
      <c r="B94" s="977"/>
      <c r="C94" s="977"/>
      <c r="D94" s="977"/>
      <c r="E94" s="977"/>
      <c r="F94" s="977"/>
      <c r="G94" s="977"/>
      <c r="H94" s="977"/>
      <c r="I94" s="977"/>
      <c r="J94" s="977"/>
      <c r="K94" s="977"/>
      <c r="L94" s="977"/>
      <c r="M94" s="977"/>
      <c r="N94" s="977"/>
      <c r="O94" s="977"/>
      <c r="P94" s="977"/>
      <c r="Q94" s="977"/>
      <c r="R94" s="977"/>
      <c r="S94" s="977"/>
      <c r="T94" s="977"/>
      <c r="U94" s="977"/>
      <c r="V94" s="977"/>
      <c r="W94" s="977"/>
      <c r="X94" s="977"/>
      <c r="Y94" s="977"/>
    </row>
    <row r="95" spans="2:25" s="105" customFormat="1" ht="45.75" customHeight="1">
      <c r="B95" s="977" t="str">
        <f>"Realisasi Belanja "&amp;'2.ISIAN DATA SKPD'!D2&amp;" pada TA "&amp;'2.ISIAN DATA SKPD'!D11&amp;" adalah sebesar Rp. "&amp;FIXED('3.LRA'!E37)&amp;" atau mencapai "&amp;FIXED('3.LRA'!F37)&amp;" % dari alokasi anggaran sebesar Rp. "&amp;FIXED('3.LRA'!D37)&amp;"."</f>
        <v>Realisasi Belanja Kecamatan Kaliwiro pada TA 2017 adalah sebesar Rp. 9,332,242,166.00 atau mencapai 95.50 % dari alokasi anggaran sebesar Rp. 9,772,034,508.00.</v>
      </c>
      <c r="C95" s="977"/>
      <c r="D95" s="977"/>
      <c r="E95" s="977"/>
      <c r="F95" s="977"/>
      <c r="G95" s="977"/>
      <c r="H95" s="977"/>
      <c r="I95" s="977"/>
      <c r="J95" s="977"/>
      <c r="K95" s="977"/>
      <c r="L95" s="977"/>
      <c r="M95" s="977"/>
      <c r="N95" s="977"/>
      <c r="O95" s="977"/>
      <c r="P95" s="977"/>
      <c r="Q95" s="977"/>
      <c r="R95" s="977"/>
      <c r="S95" s="977"/>
      <c r="T95" s="977"/>
      <c r="U95" s="977"/>
      <c r="V95" s="977"/>
      <c r="W95" s="977"/>
      <c r="X95" s="977"/>
      <c r="Y95" s="977"/>
    </row>
    <row r="96" spans="2:25" s="105" customFormat="1" ht="6.75" customHeight="1">
      <c r="B96" s="587"/>
      <c r="C96" s="587"/>
      <c r="D96" s="587"/>
      <c r="E96" s="587"/>
      <c r="F96" s="587"/>
      <c r="G96" s="587"/>
      <c r="H96" s="587"/>
      <c r="I96" s="587"/>
      <c r="J96" s="587"/>
      <c r="K96" s="587"/>
      <c r="L96" s="587"/>
      <c r="M96" s="587"/>
      <c r="N96" s="587"/>
      <c r="O96" s="587"/>
      <c r="P96" s="587"/>
      <c r="Q96" s="587"/>
      <c r="R96" s="587"/>
      <c r="S96" s="587"/>
      <c r="T96" s="587"/>
      <c r="U96" s="587"/>
      <c r="V96" s="587"/>
      <c r="W96" s="587"/>
      <c r="X96" s="587"/>
      <c r="Y96" s="587"/>
    </row>
    <row r="97" spans="1:2" ht="15" customHeight="1">
      <c r="A97" s="625" t="s">
        <v>16</v>
      </c>
      <c r="B97" s="436" t="s">
        <v>74</v>
      </c>
    </row>
    <row r="98" spans="2:25" s="105" customFormat="1" ht="33" customHeight="1">
      <c r="B98" s="976" t="str">
        <f>"Neraca menggambarkan posisi keuangan entitas mengenai aset, kewajiban, dan ekuitas  pada tanggal "&amp;'2.ISIAN DATA SKPD'!D8&amp;"."</f>
        <v>Neraca menggambarkan posisi keuangan entitas mengenai aset, kewajiban, dan ekuitas  pada tanggal 31 Desember 2017.</v>
      </c>
      <c r="C98" s="976"/>
      <c r="D98" s="976"/>
      <c r="E98" s="976"/>
      <c r="F98" s="976"/>
      <c r="G98" s="976"/>
      <c r="H98" s="976"/>
      <c r="I98" s="976"/>
      <c r="J98" s="976"/>
      <c r="K98" s="976"/>
      <c r="L98" s="976"/>
      <c r="M98" s="976"/>
      <c r="N98" s="976"/>
      <c r="O98" s="976"/>
      <c r="P98" s="976"/>
      <c r="Q98" s="976"/>
      <c r="R98" s="976"/>
      <c r="S98" s="976"/>
      <c r="T98" s="976"/>
      <c r="U98" s="976"/>
      <c r="V98" s="976"/>
      <c r="W98" s="976"/>
      <c r="X98" s="976"/>
      <c r="Y98" s="976"/>
    </row>
    <row r="99" spans="2:25" s="105" customFormat="1" ht="50.25" customHeight="1">
      <c r="B99" s="976" t="str">
        <f>"Nilai Aset per  "&amp;'2.ISIAN DATA SKPD'!D8&amp;" dicatat dan disajikan sebesar Rp. "&amp;FIXED('4.NERACA'!I5)&amp;" yang terdiri dari : Aset Lancar sebesar Rp. "&amp;FIXED('4.NERACA'!I6)&amp;"; Aset Tetap  sebesar Rp. "&amp;FIXED('4.NERACA'!I61)&amp;";dan  Aset Lainnya sebesar Rp. "&amp;FIXED('4.NERACA'!I138)&amp;". "</f>
        <v>Nilai Aset per  31 Desember 2017 dicatat dan disajikan sebesar Rp. 6,369,503,512.00 yang terdiri dari : Aset Lancar sebesar Rp. 222,000,000.00; Aset Tetap  sebesar Rp. 6,147,503,512.00;dan  Aset Lainnya sebesar Rp. 0.00. </v>
      </c>
      <c r="C99" s="976"/>
      <c r="D99" s="976"/>
      <c r="E99" s="976"/>
      <c r="F99" s="976"/>
      <c r="G99" s="976"/>
      <c r="H99" s="976"/>
      <c r="I99" s="976"/>
      <c r="J99" s="976"/>
      <c r="K99" s="976"/>
      <c r="L99" s="976"/>
      <c r="M99" s="976"/>
      <c r="N99" s="976"/>
      <c r="O99" s="976"/>
      <c r="P99" s="976"/>
      <c r="Q99" s="976"/>
      <c r="R99" s="976"/>
      <c r="S99" s="976"/>
      <c r="T99" s="976"/>
      <c r="U99" s="976"/>
      <c r="V99" s="976"/>
      <c r="W99" s="976"/>
      <c r="X99" s="976"/>
      <c r="Y99" s="976"/>
    </row>
    <row r="100" spans="2:25" s="105" customFormat="1" ht="32.25" customHeight="1">
      <c r="B100" s="976" t="str">
        <f>"Nilai Kewajiban dan Ekuitas masing-masing sebesar Rp. "&amp;FIXED('4.NERACA'!I155)&amp;" dan Rp. "&amp;FIXED('4.NERACA'!I207)&amp;"."</f>
        <v>Nilai Kewajiban dan Ekuitas masing-masing sebesar Rp. 0.00 dan Rp. 6,369,503,512.00.</v>
      </c>
      <c r="C100" s="976"/>
      <c r="D100" s="976"/>
      <c r="E100" s="976"/>
      <c r="F100" s="976"/>
      <c r="G100" s="976"/>
      <c r="H100" s="976"/>
      <c r="I100" s="976"/>
      <c r="J100" s="976"/>
      <c r="K100" s="976"/>
      <c r="L100" s="976"/>
      <c r="M100" s="976"/>
      <c r="N100" s="976"/>
      <c r="O100" s="976"/>
      <c r="P100" s="976"/>
      <c r="Q100" s="976"/>
      <c r="R100" s="976"/>
      <c r="S100" s="976"/>
      <c r="T100" s="976"/>
      <c r="U100" s="976"/>
      <c r="V100" s="976"/>
      <c r="W100" s="976"/>
      <c r="X100" s="976"/>
      <c r="Y100" s="976"/>
    </row>
    <row r="101" spans="2:25" s="105" customFormat="1" ht="12.75" customHeight="1">
      <c r="B101" s="579"/>
      <c r="C101" s="579"/>
      <c r="D101" s="579"/>
      <c r="E101" s="579"/>
      <c r="F101" s="579"/>
      <c r="G101" s="579"/>
      <c r="H101" s="579"/>
      <c r="I101" s="579"/>
      <c r="J101" s="579"/>
      <c r="K101" s="579"/>
      <c r="L101" s="579"/>
      <c r="M101" s="579"/>
      <c r="N101" s="579"/>
      <c r="O101" s="579"/>
      <c r="P101" s="579"/>
      <c r="Q101" s="579"/>
      <c r="R101" s="579"/>
      <c r="S101" s="579"/>
      <c r="T101" s="579"/>
      <c r="U101" s="579"/>
      <c r="V101" s="579"/>
      <c r="W101" s="579"/>
      <c r="X101" s="579"/>
      <c r="Y101" s="579"/>
    </row>
    <row r="102" spans="1:25" s="105" customFormat="1" ht="18" customHeight="1">
      <c r="A102" s="625" t="s">
        <v>17</v>
      </c>
      <c r="B102" s="436" t="s">
        <v>69</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row>
    <row r="103" spans="2:25" s="105" customFormat="1" ht="65.25" customHeight="1">
      <c r="B103" s="976" t="s">
        <v>1640</v>
      </c>
      <c r="C103" s="976"/>
      <c r="D103" s="976"/>
      <c r="E103" s="976"/>
      <c r="F103" s="976"/>
      <c r="G103" s="976"/>
      <c r="H103" s="976"/>
      <c r="I103" s="976"/>
      <c r="J103" s="976"/>
      <c r="K103" s="976"/>
      <c r="L103" s="976"/>
      <c r="M103" s="976"/>
      <c r="N103" s="976"/>
      <c r="O103" s="976"/>
      <c r="P103" s="976"/>
      <c r="Q103" s="976"/>
      <c r="R103" s="976"/>
      <c r="S103" s="976"/>
      <c r="T103" s="976"/>
      <c r="U103" s="976"/>
      <c r="V103" s="976"/>
      <c r="W103" s="976"/>
      <c r="X103" s="976"/>
      <c r="Y103" s="976"/>
    </row>
    <row r="104" spans="2:25" s="105" customFormat="1" ht="63.75" customHeight="1">
      <c r="B104" s="976" t="str">
        <f>"Pendapatan-LO untuk periode sampai dengan "&amp;'2.ISIAN DATA SKPD'!D8&amp;" adalah sebesar Rp. "&amp;FIXED('5.LO'!E6)&amp;", sedangkan jumlah beban adalah sebesar Rp. "&amp;FIXED('5.LO'!E154)&amp;" sehingga terdapat Defisit dari Kegiatan Operasional  senilai Rp. "&amp;FIXED('5.LO'!E435)&amp;"."</f>
        <v>Pendapatan-LO untuk periode sampai dengan 31 Desember 2017 adalah sebesar Rp. 0.00, sedangkan jumlah beban adalah sebesar Rp. 5,195,079,483.00 sehingga terdapat Defisit dari Kegiatan Operasional  senilai Rp. -5,195,079,483.00.</v>
      </c>
      <c r="C104" s="976"/>
      <c r="D104" s="976"/>
      <c r="E104" s="976"/>
      <c r="F104" s="976"/>
      <c r="G104" s="976"/>
      <c r="H104" s="976"/>
      <c r="I104" s="976"/>
      <c r="J104" s="976"/>
      <c r="K104" s="976"/>
      <c r="L104" s="976"/>
      <c r="M104" s="976"/>
      <c r="N104" s="976"/>
      <c r="O104" s="976"/>
      <c r="P104" s="976"/>
      <c r="Q104" s="976"/>
      <c r="R104" s="976"/>
      <c r="S104" s="976"/>
      <c r="T104" s="976"/>
      <c r="U104" s="976"/>
      <c r="V104" s="976"/>
      <c r="W104" s="976"/>
      <c r="X104" s="976"/>
      <c r="Y104" s="976"/>
    </row>
    <row r="105" spans="1:25" s="105" customFormat="1" ht="21" customHeight="1">
      <c r="A105" s="580" t="s">
        <v>786</v>
      </c>
      <c r="B105" s="581" t="s">
        <v>76</v>
      </c>
      <c r="C105" s="122"/>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row>
    <row r="106" spans="2:25" s="105" customFormat="1" ht="32.25" customHeight="1">
      <c r="B106" s="1002" t="s">
        <v>75</v>
      </c>
      <c r="C106" s="1003"/>
      <c r="D106" s="1003"/>
      <c r="E106" s="1003"/>
      <c r="F106" s="1003"/>
      <c r="G106" s="1003"/>
      <c r="H106" s="1003"/>
      <c r="I106" s="1003"/>
      <c r="J106" s="1003"/>
      <c r="K106" s="1003"/>
      <c r="L106" s="1003"/>
      <c r="M106" s="1003"/>
      <c r="N106" s="1003"/>
      <c r="O106" s="1003"/>
      <c r="P106" s="1003"/>
      <c r="Q106" s="1003"/>
      <c r="R106" s="1003"/>
      <c r="S106" s="1003"/>
      <c r="T106" s="1003"/>
      <c r="U106" s="1003"/>
      <c r="V106" s="1003"/>
      <c r="W106" s="1003"/>
      <c r="X106" s="1003"/>
      <c r="Y106" s="1003"/>
    </row>
    <row r="107" spans="2:25" s="105" customFormat="1" ht="83.25" customHeight="1">
      <c r="B107" s="982" t="str">
        <f>"Ekuitas pada tanggal 01 Januari "&amp;'2.ISIAN DATA SKPD'!D11&amp;" adalah sebesar Rp."&amp;FIXED('6.LPE'!C9)&amp;" dikurangi Defisit-LO sebesar Rp."&amp;FIXED('6.LPE'!C10)&amp;" kemudian ditambah dengan RK-PPKD senilai Rp. "&amp;FIXED('6.LPE'!C11)&amp;" dan ditambah Dampak Komulatif sebesar Rp. "&amp;FIXED('6.LPE'!C12)&amp;" sehingga Ekuitas entitas pada tanggal "&amp;'2.ISIAN DATA SKPD'!D8&amp;" adalah senilai Rp. "&amp;FIXED('6.LPE'!C24)&amp;"."</f>
        <v>Ekuitas pada tanggal 01 Januari 2017 adalah sebesar Rp.4,261,721,512.00 dikurangi Defisit-LO sebesar Rp.-3,469,441,315.00 kemudian ditambah dengan RK-PPKD senilai Rp. 9,328,342,379.00 dan ditambah Dampak Komulatif sebesar Rp. -3,751,119,064.00 sehingga Ekuitas entitas pada tanggal 31 Desember 2017 adalah senilai Rp. 6,369,503,512.00.</v>
      </c>
      <c r="C107" s="983"/>
      <c r="D107" s="983"/>
      <c r="E107" s="983"/>
      <c r="F107" s="983"/>
      <c r="G107" s="983"/>
      <c r="H107" s="983"/>
      <c r="I107" s="983"/>
      <c r="J107" s="983"/>
      <c r="K107" s="983"/>
      <c r="L107" s="983"/>
      <c r="M107" s="983"/>
      <c r="N107" s="983"/>
      <c r="O107" s="983"/>
      <c r="P107" s="983"/>
      <c r="Q107" s="983"/>
      <c r="R107" s="983"/>
      <c r="S107" s="983"/>
      <c r="T107" s="983"/>
      <c r="U107" s="983"/>
      <c r="V107" s="983"/>
      <c r="W107" s="983"/>
      <c r="X107" s="983"/>
      <c r="Y107" s="983"/>
    </row>
    <row r="108" spans="2:25" s="105" customFormat="1" ht="62.25" customHeight="1">
      <c r="B108" s="844"/>
      <c r="C108" s="845"/>
      <c r="D108" s="845"/>
      <c r="E108" s="845"/>
      <c r="F108" s="845"/>
      <c r="G108" s="845"/>
      <c r="H108" s="845"/>
      <c r="I108" s="845"/>
      <c r="J108" s="845"/>
      <c r="K108" s="845"/>
      <c r="L108" s="845"/>
      <c r="M108" s="845"/>
      <c r="N108" s="845"/>
      <c r="O108" s="845"/>
      <c r="P108" s="845"/>
      <c r="Q108" s="845"/>
      <c r="R108" s="845"/>
      <c r="S108" s="845"/>
      <c r="T108" s="845"/>
      <c r="U108" s="845"/>
      <c r="V108" s="845"/>
      <c r="W108" s="845"/>
      <c r="X108" s="845"/>
      <c r="Y108" s="845"/>
    </row>
    <row r="109" spans="1:2" ht="20.25" customHeight="1">
      <c r="A109" s="580" t="s">
        <v>1221</v>
      </c>
      <c r="B109" s="581" t="s">
        <v>71</v>
      </c>
    </row>
    <row r="110" spans="1:25" ht="67.5" customHeight="1">
      <c r="A110" s="581"/>
      <c r="B110" s="999" t="s">
        <v>77</v>
      </c>
      <c r="C110" s="999"/>
      <c r="D110" s="999"/>
      <c r="E110" s="999"/>
      <c r="F110" s="999"/>
      <c r="G110" s="999"/>
      <c r="H110" s="999"/>
      <c r="I110" s="999"/>
      <c r="J110" s="999"/>
      <c r="K110" s="999"/>
      <c r="L110" s="999"/>
      <c r="M110" s="999"/>
      <c r="N110" s="999"/>
      <c r="O110" s="999"/>
      <c r="P110" s="999"/>
      <c r="Q110" s="999"/>
      <c r="R110" s="999"/>
      <c r="S110" s="999"/>
      <c r="T110" s="999"/>
      <c r="U110" s="999"/>
      <c r="V110" s="999"/>
      <c r="W110" s="999"/>
      <c r="X110" s="999"/>
      <c r="Y110" s="999"/>
    </row>
    <row r="111" spans="1:25" ht="63.75" customHeight="1">
      <c r="A111" s="581"/>
      <c r="B111" s="982" t="s">
        <v>78</v>
      </c>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row>
    <row r="112" spans="1:25" ht="90.75" customHeight="1">
      <c r="A112" s="581"/>
      <c r="B112" s="982" t="str">
        <f>"Dalam penyajian Laporan Realisasi Anggaran untuk periode yang berakhir sampai dengan tanggal "&amp;'2.ISIAN DATA SKPD'!D8&amp;" disusun dan disajikan berdasarkan basis kas. Sedangkan Neraca, Laporan Operasional, dan Laporan Perubahan Ekuitas untuk Tahun "&amp;'2.ISIAN DATA SKPD'!D11&amp;" disusun dan disajikan dengan basis akrual. "</f>
        <v>Dalam penyajian Laporan Realisasi Anggaran untuk periode yang berakhir sampai dengan tanggal 31 Desember 2017 disusun dan disajikan berdasarkan basis kas. Sedangkan Neraca, Laporan Operasional, dan Laporan Perubahan Ekuitas untuk Tahun 2017 disusun dan disajikan dengan basis akrual. </v>
      </c>
      <c r="C112" s="982"/>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row>
    <row r="113" ht="20.25" customHeight="1"/>
    <row r="114" ht="68.25" customHeight="1">
      <c r="A114" s="581"/>
    </row>
    <row r="115" ht="64.5" customHeight="1">
      <c r="A115" s="581"/>
    </row>
    <row r="116" ht="81" customHeight="1">
      <c r="A116" s="581"/>
    </row>
    <row r="117" spans="1:2" ht="20.25" customHeight="1">
      <c r="A117" s="581"/>
      <c r="B117" s="581"/>
    </row>
    <row r="118" spans="1:2" ht="20.25" customHeight="1">
      <c r="A118" s="581"/>
      <c r="B118" s="581"/>
    </row>
    <row r="119" spans="1:2" ht="20.25" customHeight="1">
      <c r="A119" s="581"/>
      <c r="B119" s="581"/>
    </row>
    <row r="120" spans="1:2" ht="20.25" customHeight="1">
      <c r="A120" s="581"/>
      <c r="B120" s="581"/>
    </row>
    <row r="121" spans="1:2" ht="20.25" customHeight="1">
      <c r="A121" s="581"/>
      <c r="B121" s="581"/>
    </row>
    <row r="122" spans="1:2" ht="20.25" customHeight="1">
      <c r="A122" s="581"/>
      <c r="B122" s="581"/>
    </row>
    <row r="123" spans="1:2" ht="20.25" customHeight="1">
      <c r="A123" s="581"/>
      <c r="B123" s="581"/>
    </row>
    <row r="124" spans="1:2" ht="20.25" customHeight="1">
      <c r="A124" s="581"/>
      <c r="B124" s="581"/>
    </row>
    <row r="125" spans="1:2" ht="20.25" customHeight="1">
      <c r="A125" s="581"/>
      <c r="B125" s="581"/>
    </row>
    <row r="126" spans="1:2" ht="20.25" customHeight="1">
      <c r="A126" s="581"/>
      <c r="B126" s="581"/>
    </row>
    <row r="127" spans="1:2" ht="20.25" customHeight="1">
      <c r="A127" s="581"/>
      <c r="B127" s="581"/>
    </row>
    <row r="128" spans="1:2" ht="20.25" customHeight="1">
      <c r="A128" s="581"/>
      <c r="B128" s="581"/>
    </row>
    <row r="129" spans="1:2" ht="20.25" customHeight="1">
      <c r="A129" s="581"/>
      <c r="B129" s="581"/>
    </row>
    <row r="130" ht="20.25" customHeight="1"/>
    <row r="131" ht="20.25" customHeight="1">
      <c r="AD131" s="466"/>
    </row>
    <row r="132" ht="20.25" customHeight="1"/>
    <row r="133" ht="20.25" customHeight="1"/>
    <row r="134" ht="20.25" customHeight="1"/>
    <row r="135" ht="20.25" customHeight="1"/>
    <row r="136" ht="20.25" customHeight="1"/>
  </sheetData>
  <sheetProtection/>
  <mergeCells count="86">
    <mergeCell ref="N80:X80"/>
    <mergeCell ref="B107:Y107"/>
    <mergeCell ref="B93:Y93"/>
    <mergeCell ref="W44:X44"/>
    <mergeCell ref="W45:X45"/>
    <mergeCell ref="B72:X72"/>
    <mergeCell ref="O85:X85"/>
    <mergeCell ref="D60:V60"/>
    <mergeCell ref="D61:V61"/>
    <mergeCell ref="B46:V46"/>
    <mergeCell ref="N79:X79"/>
    <mergeCell ref="B69:X69"/>
    <mergeCell ref="B70:X70"/>
    <mergeCell ref="B66:X66"/>
    <mergeCell ref="B67:X67"/>
    <mergeCell ref="W38:X38"/>
    <mergeCell ref="W39:X39"/>
    <mergeCell ref="B68:X68"/>
    <mergeCell ref="W46:X46"/>
    <mergeCell ref="D45:V45"/>
    <mergeCell ref="W33:X33"/>
    <mergeCell ref="W34:X34"/>
    <mergeCell ref="W40:X40"/>
    <mergeCell ref="W41:X41"/>
    <mergeCell ref="W42:X42"/>
    <mergeCell ref="D44:V44"/>
    <mergeCell ref="W37:X37"/>
    <mergeCell ref="W36:X36"/>
    <mergeCell ref="W35:X35"/>
    <mergeCell ref="B28:V28"/>
    <mergeCell ref="B29:V29"/>
    <mergeCell ref="B30:V30"/>
    <mergeCell ref="B31:V31"/>
    <mergeCell ref="C32:V32"/>
    <mergeCell ref="C34:V34"/>
    <mergeCell ref="C33:V33"/>
    <mergeCell ref="B110:Y110"/>
    <mergeCell ref="O83:X83"/>
    <mergeCell ref="A88:Y88"/>
    <mergeCell ref="N74:X74"/>
    <mergeCell ref="B111:Y111"/>
    <mergeCell ref="A87:Y87"/>
    <mergeCell ref="B99:Y99"/>
    <mergeCell ref="B106:Y106"/>
    <mergeCell ref="B103:Y103"/>
    <mergeCell ref="O84:X84"/>
    <mergeCell ref="N75:X75"/>
    <mergeCell ref="A1:Y1"/>
    <mergeCell ref="B3:X3"/>
    <mergeCell ref="B4:X4"/>
    <mergeCell ref="B5:X5"/>
    <mergeCell ref="B6:X6"/>
    <mergeCell ref="N15:X15"/>
    <mergeCell ref="N16:X16"/>
    <mergeCell ref="N18:P18"/>
    <mergeCell ref="N10:X10"/>
    <mergeCell ref="B112:Y112"/>
    <mergeCell ref="A90:Y90"/>
    <mergeCell ref="D43:V43"/>
    <mergeCell ref="A63:Y63"/>
    <mergeCell ref="B104:Y104"/>
    <mergeCell ref="B7:X7"/>
    <mergeCell ref="B8:X8"/>
    <mergeCell ref="B9:X9"/>
    <mergeCell ref="A25:Y25"/>
    <mergeCell ref="N11:X11"/>
    <mergeCell ref="B65:X65"/>
    <mergeCell ref="W43:X43"/>
    <mergeCell ref="D59:V59"/>
    <mergeCell ref="D58:V58"/>
    <mergeCell ref="W28:X28"/>
    <mergeCell ref="W29:X29"/>
    <mergeCell ref="W30:X30"/>
    <mergeCell ref="W31:X31"/>
    <mergeCell ref="W32:X32"/>
    <mergeCell ref="B64:X64"/>
    <mergeCell ref="W27:X27"/>
    <mergeCell ref="B100:Y100"/>
    <mergeCell ref="B98:Y98"/>
    <mergeCell ref="B95:Y95"/>
    <mergeCell ref="B94:Y94"/>
    <mergeCell ref="C35:V35"/>
    <mergeCell ref="C36:V36"/>
    <mergeCell ref="D37:V37"/>
    <mergeCell ref="D38:V38"/>
    <mergeCell ref="D42:V42"/>
  </mergeCells>
  <printOptions/>
  <pageMargins left="0.7" right="0.7" top="0.75" bottom="1.5" header="0.3" footer="0.3"/>
  <pageSetup horizontalDpi="600" verticalDpi="600" orientation="portrait" paperSize="9" scale="96" r:id="rId2"/>
  <headerFooter>
    <oddFooter>&amp;R&amp;P</oddFooter>
  </headerFooter>
  <rowBreaks count="2" manualBreakCount="2">
    <brk id="56" max="24" man="1"/>
    <brk id="86" max="24" man="1"/>
  </rowBreaks>
  <drawing r:id="rId1"/>
</worksheet>
</file>

<file path=xl/worksheets/sheet9.xml><?xml version="1.0" encoding="utf-8"?>
<worksheet xmlns="http://schemas.openxmlformats.org/spreadsheetml/2006/main" xmlns:r="http://schemas.openxmlformats.org/officeDocument/2006/relationships">
  <sheetPr>
    <tabColor rgb="FF7030A0"/>
  </sheetPr>
  <dimension ref="A1:G62"/>
  <sheetViews>
    <sheetView view="pageLayout" workbookViewId="0" topLeftCell="A28">
      <selection activeCell="B8" sqref="B8"/>
    </sheetView>
  </sheetViews>
  <sheetFormatPr defaultColWidth="9.140625" defaultRowHeight="15"/>
  <cols>
    <col min="1" max="1" width="31.57421875" style="76" customWidth="1"/>
    <col min="2" max="2" width="17.8515625" style="98" customWidth="1"/>
    <col min="3" max="3" width="18.00390625" style="99" customWidth="1"/>
    <col min="4" max="4" width="8.7109375" style="76" customWidth="1"/>
    <col min="5" max="5" width="18.57421875" style="100" customWidth="1"/>
    <col min="6" max="16384" width="9.140625" style="75" customWidth="1"/>
  </cols>
  <sheetData>
    <row r="1" spans="1:5" ht="18.75" customHeight="1">
      <c r="A1" s="1011"/>
      <c r="B1" s="1011"/>
      <c r="C1" s="1011"/>
      <c r="D1" s="1011"/>
      <c r="E1" s="1011"/>
    </row>
    <row r="2" spans="1:5" ht="16.5">
      <c r="A2" s="849"/>
      <c r="B2" s="850"/>
      <c r="C2" s="851"/>
      <c r="D2" s="849"/>
      <c r="E2" s="852"/>
    </row>
    <row r="3" spans="1:5" ht="15.75" customHeight="1">
      <c r="A3" s="1012" t="str">
        <f>'2.ISIAN DATA SKPD'!D2</f>
        <v>Kecamatan Kaliwiro</v>
      </c>
      <c r="B3" s="1012"/>
      <c r="C3" s="1012"/>
      <c r="D3" s="1012"/>
      <c r="E3" s="1012"/>
    </row>
    <row r="4" spans="1:5" ht="15.75" customHeight="1">
      <c r="A4" s="1012" t="s">
        <v>1214</v>
      </c>
      <c r="B4" s="1012"/>
      <c r="C4" s="1012"/>
      <c r="D4" s="1012"/>
      <c r="E4" s="1012"/>
    </row>
    <row r="5" spans="1:5" ht="15.75" customHeight="1">
      <c r="A5" s="1012" t="str">
        <f>"Untuk Tahun Yang Berakhir Sampai Dengan "&amp;'2.ISIAN DATA SKPD'!D8&amp;" dan "&amp;'2.ISIAN DATA SKPD'!D12&amp;""</f>
        <v>Untuk Tahun Yang Berakhir Sampai Dengan 31 Desember 2017 dan 2016</v>
      </c>
      <c r="B5" s="1012"/>
      <c r="C5" s="1012"/>
      <c r="D5" s="1012"/>
      <c r="E5" s="1012"/>
    </row>
    <row r="6" spans="1:5" ht="16.5">
      <c r="A6" s="1013"/>
      <c r="B6" s="1013"/>
      <c r="C6" s="1013"/>
      <c r="D6" s="1013"/>
      <c r="E6" s="1013"/>
    </row>
    <row r="7" spans="1:5" ht="18" customHeight="1">
      <c r="A7" s="1016" t="s">
        <v>9</v>
      </c>
      <c r="B7" s="1018" t="str">
        <f>"TA "&amp;'2.ISIAN DATA SKPD'!D11&amp;""</f>
        <v>TA 2017</v>
      </c>
      <c r="C7" s="1019"/>
      <c r="D7" s="1020" t="s">
        <v>82</v>
      </c>
      <c r="E7" s="853" t="str">
        <f>"TA "&amp;'2.ISIAN DATA SKPD'!D12&amp;""</f>
        <v>TA 2016</v>
      </c>
    </row>
    <row r="8" spans="1:5" ht="19.5" customHeight="1">
      <c r="A8" s="1017"/>
      <c r="B8" s="854" t="s">
        <v>80</v>
      </c>
      <c r="C8" s="855" t="s">
        <v>81</v>
      </c>
      <c r="D8" s="1021"/>
      <c r="E8" s="856" t="s">
        <v>81</v>
      </c>
    </row>
    <row r="9" spans="1:5" s="77" customFormat="1" ht="21" customHeight="1">
      <c r="A9" s="857" t="str">
        <f>'3.LRA'!C18</f>
        <v>PENDAPATAN </v>
      </c>
      <c r="B9" s="858">
        <f>'3.LRA'!D18</f>
        <v>0</v>
      </c>
      <c r="C9" s="859">
        <f>'3.LRA'!E18</f>
        <v>0</v>
      </c>
      <c r="D9" s="860">
        <v>0</v>
      </c>
      <c r="E9" s="861">
        <f>'3.LRA'!I18</f>
        <v>0</v>
      </c>
    </row>
    <row r="10" spans="1:6" s="77" customFormat="1" ht="21" customHeight="1">
      <c r="A10" s="857" t="str">
        <f>'3.LRA'!C19</f>
        <v>PENDAPATAN ASLI DAERAH</v>
      </c>
      <c r="B10" s="858">
        <f>'3.LRA'!D19</f>
        <v>0</v>
      </c>
      <c r="C10" s="859">
        <f>'3.LRA'!E19</f>
        <v>0</v>
      </c>
      <c r="D10" s="860">
        <v>0</v>
      </c>
      <c r="E10" s="861">
        <f>'3.LRA'!I19</f>
        <v>0</v>
      </c>
      <c r="F10" s="86"/>
    </row>
    <row r="11" spans="1:7" s="77" customFormat="1" ht="21" customHeight="1">
      <c r="A11" s="862" t="str">
        <f>'3.LRA'!C20</f>
        <v>Pajak Daerah</v>
      </c>
      <c r="B11" s="863">
        <f>'3.LRA'!D20</f>
        <v>0</v>
      </c>
      <c r="C11" s="864">
        <f>'3.LRA'!E20</f>
        <v>0</v>
      </c>
      <c r="D11" s="865">
        <v>0</v>
      </c>
      <c r="E11" s="866">
        <f>'3.LRA'!I20</f>
        <v>0</v>
      </c>
      <c r="F11" s="86"/>
      <c r="G11" s="86"/>
    </row>
    <row r="12" spans="1:5" s="77" customFormat="1" ht="21" customHeight="1">
      <c r="A12" s="862" t="str">
        <f>'3.LRA'!C21</f>
        <v>Retribusi Daerah</v>
      </c>
      <c r="B12" s="863">
        <f>'3.LRA'!D21</f>
        <v>0</v>
      </c>
      <c r="C12" s="864">
        <f>'3.LRA'!E21</f>
        <v>0</v>
      </c>
      <c r="D12" s="865">
        <v>0</v>
      </c>
      <c r="E12" s="866">
        <f>'3.LRA'!I21</f>
        <v>0</v>
      </c>
    </row>
    <row r="13" spans="1:5" s="77" customFormat="1" ht="30.75" customHeight="1">
      <c r="A13" s="867" t="str">
        <f>'3.LRA'!C22</f>
        <v>Hasil Pengelolaan Kekayaan Daerah Yang Dipisahkan</v>
      </c>
      <c r="B13" s="863">
        <f>'3.LRA'!D22</f>
        <v>0</v>
      </c>
      <c r="C13" s="864">
        <f>'3.LRA'!E22</f>
        <v>0</v>
      </c>
      <c r="D13" s="865">
        <v>0</v>
      </c>
      <c r="E13" s="866">
        <f>'3.LRA'!I22</f>
        <v>0</v>
      </c>
    </row>
    <row r="14" spans="1:5" s="77" customFormat="1" ht="30.75" customHeight="1">
      <c r="A14" s="867" t="str">
        <f>'3.LRA'!C23</f>
        <v>Lain-lain PAD yang sah</v>
      </c>
      <c r="B14" s="863">
        <f>'3.LRA'!D23</f>
        <v>0</v>
      </c>
      <c r="C14" s="864">
        <f>'3.LRA'!E23</f>
        <v>0</v>
      </c>
      <c r="D14" s="865">
        <v>0</v>
      </c>
      <c r="E14" s="866">
        <f>'3.LRA'!I23</f>
        <v>0</v>
      </c>
    </row>
    <row r="15" spans="1:5" s="77" customFormat="1" ht="21" customHeight="1">
      <c r="A15" s="862" t="str">
        <f>'3.LRA'!C24</f>
        <v>Hasil Penjualan Aset Yang Tidak Dipisahkan</v>
      </c>
      <c r="B15" s="863">
        <f>'3.LRA'!D24</f>
        <v>0</v>
      </c>
      <c r="C15" s="864">
        <f>'3.LRA'!E24</f>
        <v>0</v>
      </c>
      <c r="D15" s="865">
        <v>0</v>
      </c>
      <c r="E15" s="866">
        <f>'3.LRA'!I24</f>
        <v>0</v>
      </c>
    </row>
    <row r="16" spans="1:5" s="77" customFormat="1" ht="21" customHeight="1">
      <c r="A16" s="857" t="str">
        <f>'3.LRA'!C25</f>
        <v>PENDAPATAN TRANSFER</v>
      </c>
      <c r="B16" s="858">
        <f>'3.LRA'!D25</f>
        <v>0</v>
      </c>
      <c r="C16" s="859">
        <f>'3.LRA'!E25</f>
        <v>0</v>
      </c>
      <c r="D16" s="860">
        <v>0</v>
      </c>
      <c r="E16" s="861">
        <f>'3.LRA'!I25</f>
        <v>0</v>
      </c>
    </row>
    <row r="17" spans="1:5" s="77" customFormat="1" ht="30.75" customHeight="1">
      <c r="A17" s="867" t="str">
        <f>'3.LRA'!C26</f>
        <v>Transfer Pemerintah Pusat ( Dana Perimbangan)</v>
      </c>
      <c r="B17" s="863">
        <f>'3.LRA'!D26</f>
        <v>0</v>
      </c>
      <c r="C17" s="864">
        <f>'3.LRA'!E26</f>
        <v>0</v>
      </c>
      <c r="D17" s="865">
        <v>0</v>
      </c>
      <c r="E17" s="866">
        <f>'3.LRA'!I26</f>
        <v>0</v>
      </c>
    </row>
    <row r="18" spans="1:5" s="77" customFormat="1" ht="30.75" customHeight="1">
      <c r="A18" s="867" t="str">
        <f>'3.LRA'!C27</f>
        <v>Transfer Pemerintah Pusat Lainnya</v>
      </c>
      <c r="B18" s="863">
        <f>'3.LRA'!D27</f>
        <v>0</v>
      </c>
      <c r="C18" s="864">
        <f>'3.LRA'!E27</f>
        <v>0</v>
      </c>
      <c r="D18" s="865">
        <v>0</v>
      </c>
      <c r="E18" s="866">
        <f>'3.LRA'!I27</f>
        <v>0</v>
      </c>
    </row>
    <row r="19" spans="1:5" s="77" customFormat="1" ht="30.75" customHeight="1">
      <c r="A19" s="868" t="str">
        <f>'3.LRA'!C29</f>
        <v>LAIN-LAIN PENDAPATAN YANG SAH</v>
      </c>
      <c r="B19" s="858">
        <f>'3.LRA'!D29</f>
        <v>0</v>
      </c>
      <c r="C19" s="859">
        <f>'3.LRA'!E29</f>
        <v>0</v>
      </c>
      <c r="D19" s="860">
        <v>0</v>
      </c>
      <c r="E19" s="861">
        <f>'3.LRA'!I29</f>
        <v>0</v>
      </c>
    </row>
    <row r="20" spans="1:5" s="77" customFormat="1" ht="21" customHeight="1">
      <c r="A20" s="862" t="str">
        <f>'3.LRA'!C30</f>
        <v>Pendapatan Hibah</v>
      </c>
      <c r="B20" s="863">
        <f>'3.LRA'!D30</f>
        <v>0</v>
      </c>
      <c r="C20" s="864">
        <f>'3.LRA'!E30</f>
        <v>0</v>
      </c>
      <c r="D20" s="865">
        <v>0</v>
      </c>
      <c r="E20" s="866">
        <f>'3.LRA'!I30</f>
        <v>0</v>
      </c>
    </row>
    <row r="21" spans="1:5" s="77" customFormat="1" ht="21" customHeight="1">
      <c r="A21" s="862" t="str">
        <f>'3.LRA'!C31</f>
        <v>Pendapatan Dana darurat</v>
      </c>
      <c r="B21" s="863">
        <f>'3.LRA'!D31</f>
        <v>0</v>
      </c>
      <c r="C21" s="864">
        <f>'3.LRA'!E31</f>
        <v>0</v>
      </c>
      <c r="D21" s="865">
        <v>0</v>
      </c>
      <c r="E21" s="866">
        <f>'3.LRA'!I31</f>
        <v>0</v>
      </c>
    </row>
    <row r="22" spans="1:5" s="77" customFormat="1" ht="21" customHeight="1">
      <c r="A22" s="862" t="str">
        <f>'3.LRA'!C32</f>
        <v>Pendapatan Lainnya</v>
      </c>
      <c r="B22" s="863">
        <f>'3.LRA'!D32</f>
        <v>0</v>
      </c>
      <c r="C22" s="864">
        <f>'3.LRA'!E32</f>
        <v>0</v>
      </c>
      <c r="D22" s="865">
        <v>0</v>
      </c>
      <c r="E22" s="866">
        <f>'3.LRA'!I32</f>
        <v>0</v>
      </c>
    </row>
    <row r="23" spans="1:5" s="77" customFormat="1" ht="21" customHeight="1">
      <c r="A23" s="857" t="str">
        <f>'3.LRA'!C37</f>
        <v>BELANJA </v>
      </c>
      <c r="B23" s="858">
        <f>B24+B29+B36+B37</f>
        <v>9772034508</v>
      </c>
      <c r="C23" s="858">
        <f>C24+C29+C36+C37</f>
        <v>9332242166</v>
      </c>
      <c r="D23" s="860">
        <f>(B23-C23)/C23*100</f>
        <v>4.712611762286753</v>
      </c>
      <c r="E23" s="858">
        <f>E24+E29+E36+E37</f>
        <v>7298213492</v>
      </c>
    </row>
    <row r="24" spans="1:5" s="77" customFormat="1" ht="21" customHeight="1">
      <c r="A24" s="857" t="str">
        <f>'3.LRA'!C38</f>
        <v>BELANJA OPERASI</v>
      </c>
      <c r="B24" s="858">
        <f>SUM(B25:B28)</f>
        <v>3470534508</v>
      </c>
      <c r="C24" s="858">
        <f>SUM(C25:C28)</f>
        <v>3075286406</v>
      </c>
      <c r="D24" s="860">
        <f aca="true" t="shared" si="0" ref="D24:D38">(B24-C24)/C24*100</f>
        <v>12.852399738406675</v>
      </c>
      <c r="E24" s="858">
        <f>SUM(E25:E28)</f>
        <v>4832372492</v>
      </c>
    </row>
    <row r="25" spans="1:5" s="77" customFormat="1" ht="21" customHeight="1">
      <c r="A25" s="862" t="str">
        <f>'3.LRA'!C39</f>
        <v>Belanja Pegawai</v>
      </c>
      <c r="B25" s="863">
        <f>'3.LRA'!D39</f>
        <v>2916540508</v>
      </c>
      <c r="C25" s="864">
        <f>'3.LRA'!E39</f>
        <v>2545405591</v>
      </c>
      <c r="D25" s="865">
        <f t="shared" si="0"/>
        <v>14.580580726005014</v>
      </c>
      <c r="E25" s="869">
        <f>'3.LRA'!I39</f>
        <v>2374611800</v>
      </c>
    </row>
    <row r="26" spans="1:5" ht="21" customHeight="1">
      <c r="A26" s="862" t="str">
        <f>'3.LRA'!C47</f>
        <v>Belanja Barang </v>
      </c>
      <c r="B26" s="863">
        <f>'3.LRA'!D47</f>
        <v>553994000</v>
      </c>
      <c r="C26" s="864">
        <f>'3.LRA'!E47</f>
        <v>529880815</v>
      </c>
      <c r="D26" s="865">
        <f t="shared" si="0"/>
        <v>4.550680892268198</v>
      </c>
      <c r="E26" s="869">
        <f>'3.LRA'!I47</f>
        <v>2457760692</v>
      </c>
    </row>
    <row r="27" spans="1:5" ht="21" customHeight="1">
      <c r="A27" s="862" t="s">
        <v>1730</v>
      </c>
      <c r="B27" s="863">
        <v>0</v>
      </c>
      <c r="C27" s="864">
        <v>0</v>
      </c>
      <c r="D27" s="865">
        <v>0</v>
      </c>
      <c r="E27" s="869">
        <v>0</v>
      </c>
    </row>
    <row r="28" spans="1:5" ht="21" customHeight="1">
      <c r="A28" s="862" t="s">
        <v>1732</v>
      </c>
      <c r="B28" s="863"/>
      <c r="C28" s="864"/>
      <c r="D28" s="865">
        <v>0</v>
      </c>
      <c r="E28" s="869">
        <v>0</v>
      </c>
    </row>
    <row r="29" spans="1:5" ht="21" customHeight="1">
      <c r="A29" s="857" t="str">
        <f>'3.LRA'!C68</f>
        <v>BELANJA MODAL</v>
      </c>
      <c r="B29" s="858">
        <f>SUM(B30:B35)</f>
        <v>6301500000</v>
      </c>
      <c r="C29" s="858">
        <f>SUM(C30:C35)</f>
        <v>6256955760</v>
      </c>
      <c r="D29" s="860">
        <f t="shared" si="0"/>
        <v>0.7119155338250306</v>
      </c>
      <c r="E29" s="858">
        <f>SUM(E30:E35)</f>
        <v>2465841000</v>
      </c>
    </row>
    <row r="30" spans="1:5" ht="21" customHeight="1">
      <c r="A30" s="862" t="str">
        <f>'3.LRA'!C69</f>
        <v>Belanja Tanah</v>
      </c>
      <c r="B30" s="863">
        <f>'3.LRA'!D69</f>
        <v>0</v>
      </c>
      <c r="C30" s="864">
        <f>'3.LRA'!E69</f>
        <v>0</v>
      </c>
      <c r="D30" s="860">
        <v>0</v>
      </c>
      <c r="E30" s="869">
        <f>'3.LRA'!I69</f>
        <v>0</v>
      </c>
    </row>
    <row r="31" spans="1:5" ht="21" customHeight="1">
      <c r="A31" s="862" t="str">
        <f>'3.LRA'!C72</f>
        <v>Belanja Peralatan dan Mesin</v>
      </c>
      <c r="B31" s="863">
        <f>'3.LRA'!D72</f>
        <v>200000000</v>
      </c>
      <c r="C31" s="864">
        <f>'3.LRA'!E72</f>
        <v>190286160</v>
      </c>
      <c r="D31" s="860">
        <f t="shared" si="0"/>
        <v>5.104858913543686</v>
      </c>
      <c r="E31" s="869">
        <f>'3.LRA'!I72</f>
        <v>0</v>
      </c>
    </row>
    <row r="32" spans="1:5" ht="21" customHeight="1">
      <c r="A32" s="870" t="str">
        <f>'3.LRA'!C82</f>
        <v>Belanja Gedung dan Bangunan</v>
      </c>
      <c r="B32" s="858">
        <f>'3.LRA'!D82</f>
        <v>0</v>
      </c>
      <c r="C32" s="859">
        <f>'3.LRA'!E82</f>
        <v>0</v>
      </c>
      <c r="D32" s="860">
        <v>0</v>
      </c>
      <c r="E32" s="871">
        <f>'3.LRA'!I82</f>
        <v>192400000</v>
      </c>
    </row>
    <row r="33" spans="1:5" ht="21" customHeight="1">
      <c r="A33" s="870" t="str">
        <f>'3.LRA'!C87</f>
        <v>Belanja Jalan, Irigasi dan Jaringan </v>
      </c>
      <c r="B33" s="858">
        <f>'3.LRA'!D87</f>
        <v>6101500000</v>
      </c>
      <c r="C33" s="859">
        <f>'3.LRA'!E87</f>
        <v>6066669600</v>
      </c>
      <c r="D33" s="860">
        <f t="shared" si="0"/>
        <v>0.5741271949275101</v>
      </c>
      <c r="E33" s="871">
        <f>'3.LRA'!I87</f>
        <v>2273441000</v>
      </c>
    </row>
    <row r="34" spans="1:5" ht="23.25" customHeight="1">
      <c r="A34" s="870" t="str">
        <f>'3.LRA'!C91</f>
        <v>Belanja Aset Tetap Lainnya</v>
      </c>
      <c r="B34" s="858">
        <f>'3.LRA'!D91</f>
        <v>0</v>
      </c>
      <c r="C34" s="859">
        <f>'3.LRA'!E91</f>
        <v>0</v>
      </c>
      <c r="D34" s="860">
        <v>0</v>
      </c>
      <c r="E34" s="871">
        <f>'3.LRA'!I91</f>
        <v>0</v>
      </c>
    </row>
    <row r="35" spans="1:5" ht="23.25" customHeight="1">
      <c r="A35" s="870" t="str">
        <f>'3.LRA'!C95</f>
        <v>Belanja Aset Lainnya</v>
      </c>
      <c r="B35" s="858">
        <f>'3.LRA'!D95</f>
        <v>0</v>
      </c>
      <c r="C35" s="859">
        <f>'3.LRA'!E95</f>
        <v>0</v>
      </c>
      <c r="D35" s="860"/>
      <c r="E35" s="871">
        <f>'3.LRA'!I95</f>
        <v>0</v>
      </c>
    </row>
    <row r="36" spans="1:5" ht="21" customHeight="1">
      <c r="A36" s="857" t="str">
        <f>'3.LRA'!C97</f>
        <v>BELANJA TAK TERDUGA</v>
      </c>
      <c r="B36" s="858">
        <f>'3.LRA'!D97</f>
        <v>0</v>
      </c>
      <c r="C36" s="859">
        <f>'3.LRA'!E97</f>
        <v>0</v>
      </c>
      <c r="D36" s="860">
        <v>0</v>
      </c>
      <c r="E36" s="871">
        <f>'3.LRA'!I97</f>
        <v>0</v>
      </c>
    </row>
    <row r="37" spans="1:5" ht="21" customHeight="1">
      <c r="A37" s="857" t="str">
        <f>'3.LRA'!C98</f>
        <v>TRANSFER</v>
      </c>
      <c r="B37" s="858">
        <f>'3.LRA'!D98</f>
        <v>0</v>
      </c>
      <c r="C37" s="859">
        <f>'3.LRA'!E98</f>
        <v>0</v>
      </c>
      <c r="D37" s="860">
        <v>0</v>
      </c>
      <c r="E37" s="871">
        <f>'3.LRA'!I98</f>
        <v>0</v>
      </c>
    </row>
    <row r="38" spans="1:5" ht="24.75" customHeight="1">
      <c r="A38" s="857" t="s">
        <v>1400</v>
      </c>
      <c r="B38" s="858">
        <f>B9-B23</f>
        <v>-9772034508</v>
      </c>
      <c r="C38" s="858">
        <f>C9-C23</f>
        <v>-9332242166</v>
      </c>
      <c r="D38" s="860">
        <f t="shared" si="0"/>
        <v>4.712611762286753</v>
      </c>
      <c r="E38" s="858">
        <f>E9-E23</f>
        <v>-7298213492</v>
      </c>
    </row>
    <row r="39" spans="1:5" ht="24.75" customHeight="1">
      <c r="A39" s="872"/>
      <c r="B39" s="858"/>
      <c r="C39" s="858"/>
      <c r="D39" s="860"/>
      <c r="E39" s="858"/>
    </row>
    <row r="40" spans="1:5" ht="16.5">
      <c r="A40" s="873" t="s">
        <v>1484</v>
      </c>
      <c r="B40" s="874"/>
      <c r="C40" s="875"/>
      <c r="D40" s="876"/>
      <c r="E40" s="877"/>
    </row>
    <row r="41" spans="1:5" ht="16.5">
      <c r="A41" s="873" t="s">
        <v>1482</v>
      </c>
      <c r="B41" s="874">
        <f>SUM(B42:B45)</f>
        <v>0</v>
      </c>
      <c r="C41" s="874">
        <f>SUM(C42:C45)</f>
        <v>0</v>
      </c>
      <c r="D41" s="860">
        <v>0</v>
      </c>
      <c r="E41" s="874">
        <f>SUM(E42:E45)</f>
        <v>0</v>
      </c>
    </row>
    <row r="42" spans="1:5" ht="16.5">
      <c r="A42" s="878" t="s">
        <v>1495</v>
      </c>
      <c r="B42" s="874">
        <f>'3.LRA'!D103</f>
        <v>0</v>
      </c>
      <c r="C42" s="875">
        <f>'3.LRA'!E103</f>
        <v>0</v>
      </c>
      <c r="D42" s="860">
        <v>0</v>
      </c>
      <c r="E42" s="877">
        <f>'3.LRA'!I103</f>
        <v>0</v>
      </c>
    </row>
    <row r="43" spans="1:5" ht="16.5">
      <c r="A43" s="878" t="s">
        <v>1485</v>
      </c>
      <c r="B43" s="874">
        <f>'3.LRA'!D104</f>
        <v>0</v>
      </c>
      <c r="C43" s="875">
        <f>'3.LRA'!E104</f>
        <v>0</v>
      </c>
      <c r="D43" s="860">
        <v>0</v>
      </c>
      <c r="E43" s="877">
        <f>'3.LRA'!I104</f>
        <v>0</v>
      </c>
    </row>
    <row r="44" spans="1:5" ht="16.5">
      <c r="A44" s="878" t="s">
        <v>1486</v>
      </c>
      <c r="B44" s="874">
        <f>'3.LRA'!D105</f>
        <v>0</v>
      </c>
      <c r="C44" s="875">
        <f>'3.LRA'!E105</f>
        <v>0</v>
      </c>
      <c r="D44" s="860">
        <v>0</v>
      </c>
      <c r="E44" s="877">
        <f>'3.LRA'!I105</f>
        <v>0</v>
      </c>
    </row>
    <row r="45" spans="1:5" ht="30" customHeight="1">
      <c r="A45" s="879" t="s">
        <v>1492</v>
      </c>
      <c r="B45" s="874">
        <f>'3.LRA'!D106</f>
        <v>0</v>
      </c>
      <c r="C45" s="875">
        <f>'3.LRA'!E106</f>
        <v>0</v>
      </c>
      <c r="D45" s="860">
        <v>0</v>
      </c>
      <c r="E45" s="877">
        <f>'3.LRA'!I106</f>
        <v>0</v>
      </c>
    </row>
    <row r="46" spans="1:5" ht="16.5">
      <c r="A46" s="880"/>
      <c r="B46" s="874"/>
      <c r="C46" s="875"/>
      <c r="D46" s="876"/>
      <c r="E46" s="877"/>
    </row>
    <row r="47" spans="1:5" ht="16.5">
      <c r="A47" s="873" t="s">
        <v>1488</v>
      </c>
      <c r="B47" s="874">
        <f>SUM(B48:B50)</f>
        <v>0</v>
      </c>
      <c r="C47" s="874">
        <f>SUM(C48:C50)</f>
        <v>0</v>
      </c>
      <c r="D47" s="860">
        <v>0</v>
      </c>
      <c r="E47" s="874">
        <f>SUM(E48:E50)</f>
        <v>0</v>
      </c>
    </row>
    <row r="48" spans="1:5" ht="16.5">
      <c r="A48" s="878" t="s">
        <v>1491</v>
      </c>
      <c r="B48" s="874">
        <f>'3.LRA'!D110</f>
        <v>0</v>
      </c>
      <c r="C48" s="875">
        <f>'3.LRA'!E110</f>
        <v>0</v>
      </c>
      <c r="D48" s="860">
        <v>0</v>
      </c>
      <c r="E48" s="877">
        <f>'3.LRA'!I110</f>
        <v>0</v>
      </c>
    </row>
    <row r="49" spans="1:5" ht="16.5">
      <c r="A49" s="878" t="s">
        <v>1489</v>
      </c>
      <c r="B49" s="874">
        <f>'3.LRA'!D111</f>
        <v>0</v>
      </c>
      <c r="C49" s="875">
        <f>'3.LRA'!E111</f>
        <v>0</v>
      </c>
      <c r="D49" s="860">
        <v>0</v>
      </c>
      <c r="E49" s="877">
        <f>'3.LRA'!I111</f>
        <v>0</v>
      </c>
    </row>
    <row r="50" spans="1:5" ht="28.5" customHeight="1">
      <c r="A50" s="879" t="s">
        <v>1490</v>
      </c>
      <c r="B50" s="874">
        <f>'3.LRA'!D112</f>
        <v>0</v>
      </c>
      <c r="C50" s="875">
        <f>'3.LRA'!E112</f>
        <v>0</v>
      </c>
      <c r="D50" s="860">
        <v>0</v>
      </c>
      <c r="E50" s="877">
        <f>'3.LRA'!I112</f>
        <v>0</v>
      </c>
    </row>
    <row r="51" spans="1:5" ht="16.5">
      <c r="A51" s="873"/>
      <c r="B51" s="874"/>
      <c r="C51" s="875"/>
      <c r="D51" s="876"/>
      <c r="E51" s="877"/>
    </row>
    <row r="52" spans="1:5" ht="16.5">
      <c r="A52" s="873" t="s">
        <v>1478</v>
      </c>
      <c r="B52" s="874">
        <f>B41-B47</f>
        <v>0</v>
      </c>
      <c r="C52" s="874">
        <f>C41-C47</f>
        <v>0</v>
      </c>
      <c r="D52" s="876"/>
      <c r="E52" s="874">
        <f>E41-E47</f>
        <v>0</v>
      </c>
    </row>
    <row r="53" spans="1:5" ht="17.25" thickBot="1">
      <c r="A53" s="881" t="s">
        <v>1479</v>
      </c>
      <c r="B53" s="882">
        <f>B38+B52</f>
        <v>-9772034508</v>
      </c>
      <c r="C53" s="882">
        <f>C38+C52</f>
        <v>-9332242166</v>
      </c>
      <c r="D53" s="883"/>
      <c r="E53" s="882">
        <f>E38-E52</f>
        <v>-7298213492</v>
      </c>
    </row>
    <row r="54" spans="1:5" ht="17.25" thickTop="1">
      <c r="A54" s="849"/>
      <c r="B54" s="850"/>
      <c r="C54" s="851"/>
      <c r="D54" s="849"/>
      <c r="E54" s="852"/>
    </row>
    <row r="55" spans="1:5" ht="16.5">
      <c r="A55" s="849"/>
      <c r="B55" s="850"/>
      <c r="C55" s="1014" t="str">
        <f>"Wonosobo, "&amp;'2.ISIAN DATA SKPD'!D19&amp;""</f>
        <v>Wonosobo, 15 Februari 2018</v>
      </c>
      <c r="D55" s="1014"/>
      <c r="E55" s="1014"/>
    </row>
    <row r="56" spans="1:5" ht="16.5">
      <c r="A56" s="849"/>
      <c r="B56" s="850"/>
      <c r="C56" s="1014" t="str">
        <f>"Kepala "&amp;'2.ISIAN DATA SKPD'!D2&amp;","</f>
        <v>Kepala Kecamatan Kaliwiro,</v>
      </c>
      <c r="D56" s="1014"/>
      <c r="E56" s="1014"/>
    </row>
    <row r="57" spans="1:5" ht="16.5">
      <c r="A57" s="849"/>
      <c r="B57" s="850"/>
      <c r="C57" s="851"/>
      <c r="D57" s="849"/>
      <c r="E57" s="852"/>
    </row>
    <row r="58" spans="1:5" ht="16.5">
      <c r="A58" s="849"/>
      <c r="B58" s="850"/>
      <c r="C58" s="851"/>
      <c r="D58" s="849"/>
      <c r="E58" s="852"/>
    </row>
    <row r="59" spans="1:5" ht="16.5">
      <c r="A59" s="849"/>
      <c r="B59" s="850"/>
      <c r="C59" s="851"/>
      <c r="D59" s="849"/>
      <c r="E59" s="852"/>
    </row>
    <row r="60" spans="1:5" ht="16.5">
      <c r="A60" s="849"/>
      <c r="B60" s="850"/>
      <c r="C60" s="1015" t="str">
        <f>'2.ISIAN DATA SKPD'!D13</f>
        <v>Hemi widiyanto, S.Sos,MM</v>
      </c>
      <c r="D60" s="1015"/>
      <c r="E60" s="1015"/>
    </row>
    <row r="61" spans="1:5" ht="16.5">
      <c r="A61" s="849"/>
      <c r="B61" s="850"/>
      <c r="C61" s="1014" t="str">
        <f>"NIP. "&amp;'2.ISIAN DATA SKPD'!D14&amp;""</f>
        <v>NIP. 196010221986071001</v>
      </c>
      <c r="D61" s="1014"/>
      <c r="E61" s="1014"/>
    </row>
    <row r="62" spans="1:5" ht="16.5">
      <c r="A62" s="849"/>
      <c r="B62" s="850"/>
      <c r="C62" s="851"/>
      <c r="D62" s="849"/>
      <c r="E62" s="852"/>
    </row>
  </sheetData>
  <sheetProtection/>
  <mergeCells count="12">
    <mergeCell ref="C56:E56"/>
    <mergeCell ref="C60:E60"/>
    <mergeCell ref="C61:E61"/>
    <mergeCell ref="A7:A8"/>
    <mergeCell ref="B7:C7"/>
    <mergeCell ref="D7:D8"/>
    <mergeCell ref="A1:E1"/>
    <mergeCell ref="A3:E3"/>
    <mergeCell ref="A6:E6"/>
    <mergeCell ref="A4:E4"/>
    <mergeCell ref="A5:E5"/>
    <mergeCell ref="C55:E55"/>
  </mergeCells>
  <printOptions/>
  <pageMargins left="0.39855072463768115" right="0.013020833333333334" top="1" bottom="0.984251968503937" header="0.31496062992125984" footer="0.31496062992125984"/>
  <pageSetup firstPageNumber="6" useFirstPageNumber="1" horizontalDpi="300" verticalDpi="300" orientation="portrait" paperSize="9" r:id="rId1"/>
  <headerFooter>
    <oddFooter>&amp;C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pc</cp:lastModifiedBy>
  <cp:lastPrinted>2016-04-07T02:40:21Z</cp:lastPrinted>
  <dcterms:created xsi:type="dcterms:W3CDTF">2015-04-22T05:22:44Z</dcterms:created>
  <dcterms:modified xsi:type="dcterms:W3CDTF">2018-09-26T08:06:25Z</dcterms:modified>
  <cp:category/>
  <cp:version/>
  <cp:contentType/>
  <cp:contentStatus/>
</cp:coreProperties>
</file>